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Vyhodnocení" sheetId="1" r:id="rId1"/>
    <sheet name="Startovka" sheetId="2" r:id="rId2"/>
    <sheet name="Muzi serial" sheetId="3" r:id="rId3"/>
    <sheet name="Zeny serial" sheetId="4" r:id="rId4"/>
  </sheets>
  <definedNames>
    <definedName name="_xlnm._FilterDatabase" localSheetId="2" hidden="1">'Muzi serial'!$A$2:$I$221</definedName>
    <definedName name="_xlnm._FilterDatabase" localSheetId="0" hidden="1">'Vyhodnocení'!$A$6:$AA$108</definedName>
    <definedName name="_xlnm._FilterDatabase" localSheetId="3" hidden="1">'Zeny serial'!$A$2:$I$81</definedName>
    <definedName name="_xlnm.Print_Area" localSheetId="0">'Vyhodnocení'!$A$1:$Y$97</definedName>
  </definedNames>
  <calcPr fullCalcOnLoad="1"/>
</workbook>
</file>

<file path=xl/comments1.xml><?xml version="1.0" encoding="utf-8"?>
<comments xmlns="http://schemas.openxmlformats.org/spreadsheetml/2006/main">
  <authors>
    <author>Ondřej Brouček</author>
  </authors>
  <commentList>
    <comment ref="B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napsat startovní číslo - ze startovní litiny vygeneruje jméno, příjmení, klub a kategorii</t>
        </r>
      </text>
    </comment>
    <comment ref="G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x znamená, že kontrolu projel</t>
        </r>
      </text>
    </comment>
    <comment ref="G7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hodnota kontroly</t>
        </r>
      </text>
    </comment>
    <comment ref="V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buď psát rovnou trestné body nebo napsat počet minut a přes vzorec / z tabulky by napsalo trestné body</t>
        </r>
      </text>
    </comment>
    <comment ref="W6" authorId="0">
      <text>
        <r>
          <rPr>
            <b/>
            <sz val="9"/>
            <rFont val="Tahoma"/>
            <family val="2"/>
          </rPr>
          <t>Ondřej Brouček:</t>
        </r>
        <r>
          <rPr>
            <sz val="9"/>
            <rFont val="Tahoma"/>
            <family val="2"/>
          </rPr>
          <t xml:space="preserve">
= součet bodů z projetých kontrol (když napíšeme x - počítají se body, když ne, tak žádné) + bonusové body - trestné body, seradit podle bodu</t>
        </r>
      </text>
    </comment>
  </commentList>
</comments>
</file>

<file path=xl/comments2.xml><?xml version="1.0" encoding="utf-8"?>
<comments xmlns="http://schemas.openxmlformats.org/spreadsheetml/2006/main">
  <authors>
    <author>Ondřej Brouček</author>
  </authors>
  <commentList>
    <comment ref="I1" authorId="0">
      <text>
        <r>
          <rPr>
            <b/>
            <sz val="8"/>
            <rFont val="Tahoma"/>
            <family val="2"/>
          </rPr>
          <t>Ondřej Brouček:</t>
        </r>
        <r>
          <rPr>
            <sz val="8"/>
            <rFont val="Tahoma"/>
            <family val="2"/>
          </rPr>
          <t xml:space="preserve">
Napsat ano když se přihlásí i na Úvaly</t>
        </r>
      </text>
    </comment>
  </commentList>
</comments>
</file>

<file path=xl/sharedStrings.xml><?xml version="1.0" encoding="utf-8"?>
<sst xmlns="http://schemas.openxmlformats.org/spreadsheetml/2006/main" count="1963" uniqueCount="382">
  <si>
    <t>celkem bodů</t>
  </si>
  <si>
    <t>Klub</t>
  </si>
  <si>
    <t>Celkové pořadí</t>
  </si>
  <si>
    <t>Pořadí v kategorii</t>
  </si>
  <si>
    <t>Kat.</t>
  </si>
  <si>
    <t>Projeté kontroly</t>
  </si>
  <si>
    <t>Start. číslo</t>
  </si>
  <si>
    <t>Čas</t>
  </si>
  <si>
    <t>trest. body</t>
  </si>
  <si>
    <t>Klánovické MTBO - výsledky</t>
  </si>
  <si>
    <t>Jméno</t>
  </si>
  <si>
    <t>Příjmení</t>
  </si>
  <si>
    <t>Datum narození</t>
  </si>
  <si>
    <t>Kategorie</t>
  </si>
  <si>
    <t>Forma úhrady startovného</t>
  </si>
  <si>
    <t>Start. Číslo</t>
  </si>
  <si>
    <t>Trestné body</t>
  </si>
  <si>
    <t>za každou trestnou minutu mínus 10 bodů</t>
  </si>
  <si>
    <t>Gál</t>
  </si>
  <si>
    <t>Lukáš</t>
  </si>
  <si>
    <t>Praha 8</t>
  </si>
  <si>
    <t>M1</t>
  </si>
  <si>
    <t>Tomáš</t>
  </si>
  <si>
    <t>Raja</t>
  </si>
  <si>
    <t>M2</t>
  </si>
  <si>
    <t>Dusík</t>
  </si>
  <si>
    <t>Milan</t>
  </si>
  <si>
    <t>Jahodnice</t>
  </si>
  <si>
    <t>M0</t>
  </si>
  <si>
    <t>Balik</t>
  </si>
  <si>
    <t>Petr</t>
  </si>
  <si>
    <t>černikoně</t>
  </si>
  <si>
    <t>Balikova</t>
  </si>
  <si>
    <t>Tereza</t>
  </si>
  <si>
    <t>cernikoně</t>
  </si>
  <si>
    <t>Z0</t>
  </si>
  <si>
    <t>Soliz Rudon</t>
  </si>
  <si>
    <t>Veronika</t>
  </si>
  <si>
    <t>Černí koně</t>
  </si>
  <si>
    <t>Z1</t>
  </si>
  <si>
    <t>Bacílek</t>
  </si>
  <si>
    <t>Bacílková</t>
  </si>
  <si>
    <t>Lenka</t>
  </si>
  <si>
    <t>Úvaly</t>
  </si>
  <si>
    <t>Kouba</t>
  </si>
  <si>
    <t>martin</t>
  </si>
  <si>
    <t>černí koně</t>
  </si>
  <si>
    <t>Rejmonová</t>
  </si>
  <si>
    <t>Jana</t>
  </si>
  <si>
    <t>Žižkovský Tygři</t>
  </si>
  <si>
    <t>Joachymstál</t>
  </si>
  <si>
    <t>Vít</t>
  </si>
  <si>
    <t>Kly</t>
  </si>
  <si>
    <t>Čokrtová</t>
  </si>
  <si>
    <t>TTC Český Brod</t>
  </si>
  <si>
    <t>Eva</t>
  </si>
  <si>
    <t>ZA</t>
  </si>
  <si>
    <t>Kateřina</t>
  </si>
  <si>
    <t>Siegl</t>
  </si>
  <si>
    <t>Jiří</t>
  </si>
  <si>
    <t>ŠSK Újezd</t>
  </si>
  <si>
    <t>Adam</t>
  </si>
  <si>
    <t>Martin</t>
  </si>
  <si>
    <t>Bike service Klecany</t>
  </si>
  <si>
    <t>Koldinský</t>
  </si>
  <si>
    <t>Jan</t>
  </si>
  <si>
    <t>KČT-MTB Kralupy nad Vltavou</t>
  </si>
  <si>
    <t>MA</t>
  </si>
  <si>
    <t>Vejrostová</t>
  </si>
  <si>
    <t>KČT MTB Kralupy nad Vltavou</t>
  </si>
  <si>
    <t>Karbulka</t>
  </si>
  <si>
    <t>Pavel</t>
  </si>
  <si>
    <t>Muddysport</t>
  </si>
  <si>
    <t>Karbulková</t>
  </si>
  <si>
    <t>Alice</t>
  </si>
  <si>
    <t>Frank</t>
  </si>
  <si>
    <t>SK Frank</t>
  </si>
  <si>
    <t>Víťa</t>
  </si>
  <si>
    <t>Schmidt</t>
  </si>
  <si>
    <t>werner</t>
  </si>
  <si>
    <t>plzen</t>
  </si>
  <si>
    <t>milan</t>
  </si>
  <si>
    <t>Karlovy Vary</t>
  </si>
  <si>
    <t>Prokešová</t>
  </si>
  <si>
    <t>Martina</t>
  </si>
  <si>
    <t>CK Úvaly</t>
  </si>
  <si>
    <t>Trapková</t>
  </si>
  <si>
    <t xml:space="preserve">Sedláčková </t>
  </si>
  <si>
    <t>Michaela</t>
  </si>
  <si>
    <t>Praha 10 Dubeč</t>
  </si>
  <si>
    <t>Vyčítal</t>
  </si>
  <si>
    <t>Praha 10</t>
  </si>
  <si>
    <t>Teplý</t>
  </si>
  <si>
    <t>Ondřej</t>
  </si>
  <si>
    <t>Šedivá</t>
  </si>
  <si>
    <t>Renata</t>
  </si>
  <si>
    <t>Pokorný</t>
  </si>
  <si>
    <t>Martin Pokorný</t>
  </si>
  <si>
    <t>Gabryš</t>
  </si>
  <si>
    <t>Lubomír</t>
  </si>
  <si>
    <t>Koloděje</t>
  </si>
  <si>
    <t>Gabryšová</t>
  </si>
  <si>
    <t>Sýkora</t>
  </si>
  <si>
    <t>Jakub</t>
  </si>
  <si>
    <t>Český Brod</t>
  </si>
  <si>
    <t>Bušek</t>
  </si>
  <si>
    <t>David</t>
  </si>
  <si>
    <t>Praha 9, Újezd nad Lesy</t>
  </si>
  <si>
    <t>Brouček</t>
  </si>
  <si>
    <t>Vojtěch</t>
  </si>
  <si>
    <t>Klazar</t>
  </si>
  <si>
    <t>Magic Veterans/Česká Lípa</t>
  </si>
  <si>
    <t>Čapek</t>
  </si>
  <si>
    <t>Rožek</t>
  </si>
  <si>
    <t>Říčany</t>
  </si>
  <si>
    <t>Soukup</t>
  </si>
  <si>
    <t>YOGI racing team Ostrava</t>
  </si>
  <si>
    <t>Hejna</t>
  </si>
  <si>
    <t>JIří</t>
  </si>
  <si>
    <t>bike and surf team</t>
  </si>
  <si>
    <t>Šaršounová</t>
  </si>
  <si>
    <t>Zuzana</t>
  </si>
  <si>
    <t>Radotín</t>
  </si>
  <si>
    <t>Bartoň</t>
  </si>
  <si>
    <t>ČeMBA</t>
  </si>
  <si>
    <t>Brabač</t>
  </si>
  <si>
    <t>Těšínský</t>
  </si>
  <si>
    <t>Praha</t>
  </si>
  <si>
    <t>Kabát</t>
  </si>
  <si>
    <t>Ekonom Praha</t>
  </si>
  <si>
    <t>Šumera</t>
  </si>
  <si>
    <t>CK Uvaly</t>
  </si>
  <si>
    <t>Martinovský</t>
  </si>
  <si>
    <t>Novotný</t>
  </si>
  <si>
    <t>Stanislav</t>
  </si>
  <si>
    <t>Deley-Silvini</t>
  </si>
  <si>
    <t>Franěk</t>
  </si>
  <si>
    <t>Miroslav</t>
  </si>
  <si>
    <t>no swiss</t>
  </si>
  <si>
    <t>Kulíková</t>
  </si>
  <si>
    <t>Taške</t>
  </si>
  <si>
    <t>Iva</t>
  </si>
  <si>
    <t>Rarášek - Újezd nad Lesy</t>
  </si>
  <si>
    <t>Dvořák</t>
  </si>
  <si>
    <t>Josef</t>
  </si>
  <si>
    <t>FSC Libuš</t>
  </si>
  <si>
    <t>Paulová</t>
  </si>
  <si>
    <t>Zlata</t>
  </si>
  <si>
    <t>Oceloví Letci</t>
  </si>
  <si>
    <t>Bumbalek</t>
  </si>
  <si>
    <t>František</t>
  </si>
  <si>
    <t>Čermák</t>
  </si>
  <si>
    <t>Tri-Ski Horní Počernice</t>
  </si>
  <si>
    <t>TRI-SKI Horní Počernice</t>
  </si>
  <si>
    <t>Pucherna</t>
  </si>
  <si>
    <t>Erpéčko</t>
  </si>
  <si>
    <t>Jeníčková</t>
  </si>
  <si>
    <t>Radka</t>
  </si>
  <si>
    <t>Šedivý</t>
  </si>
  <si>
    <t>-/praha/bohužel žádný</t>
  </si>
  <si>
    <t>Vojtisek</t>
  </si>
  <si>
    <t>Antonín</t>
  </si>
  <si>
    <t>Hladík</t>
  </si>
  <si>
    <t>Trčková</t>
  </si>
  <si>
    <t>USK Praha</t>
  </si>
  <si>
    <t>Maleček</t>
  </si>
  <si>
    <t>Levá</t>
  </si>
  <si>
    <t>žaket team</t>
  </si>
  <si>
    <t>Němeček</t>
  </si>
  <si>
    <t>Novák</t>
  </si>
  <si>
    <t>AC Saké Kateřinky</t>
  </si>
  <si>
    <t>Řehák</t>
  </si>
  <si>
    <t>Vilém</t>
  </si>
  <si>
    <t>Ševčík</t>
  </si>
  <si>
    <t>Praha 2</t>
  </si>
  <si>
    <t>Roj</t>
  </si>
  <si>
    <t>Felt singlespeed Mnichovice</t>
  </si>
  <si>
    <t>Florianek</t>
  </si>
  <si>
    <t>Michal</t>
  </si>
  <si>
    <t>Singlespeed Dub Team</t>
  </si>
  <si>
    <t>Wagner</t>
  </si>
  <si>
    <t>Holovský</t>
  </si>
  <si>
    <t>Hradec Králové</t>
  </si>
  <si>
    <t>Kubát</t>
  </si>
  <si>
    <t>Cykloservis Petr</t>
  </si>
  <si>
    <t>Fulem</t>
  </si>
  <si>
    <t>Pecháčková</t>
  </si>
  <si>
    <t>Dým Tým</t>
  </si>
  <si>
    <t>Křížek</t>
  </si>
  <si>
    <t>Hájek</t>
  </si>
  <si>
    <t>Vladimír</t>
  </si>
  <si>
    <t>Ernestová</t>
  </si>
  <si>
    <t>Řež</t>
  </si>
  <si>
    <t>Urbanovská</t>
  </si>
  <si>
    <t>Aneta</t>
  </si>
  <si>
    <t>Ekonom Praha outdoor sports</t>
  </si>
  <si>
    <t>Pruner</t>
  </si>
  <si>
    <t>Ekonom Praha Outdoor</t>
  </si>
  <si>
    <t>Ondráček</t>
  </si>
  <si>
    <t>Radim</t>
  </si>
  <si>
    <t>OB Ekonom Praha</t>
  </si>
  <si>
    <t>Holub</t>
  </si>
  <si>
    <t>Libor</t>
  </si>
  <si>
    <t>Triatlon team Měchenice</t>
  </si>
  <si>
    <t>Pastuchová</t>
  </si>
  <si>
    <t>Verner</t>
  </si>
  <si>
    <t>Újezd</t>
  </si>
  <si>
    <t>Šestajovice</t>
  </si>
  <si>
    <t>Popelková</t>
  </si>
  <si>
    <t>Daniela</t>
  </si>
  <si>
    <t>Janda</t>
  </si>
  <si>
    <t>Izáková</t>
  </si>
  <si>
    <t>Ivana</t>
  </si>
  <si>
    <t>Janeckova</t>
  </si>
  <si>
    <t>Ujezd</t>
  </si>
  <si>
    <t>Janecek</t>
  </si>
  <si>
    <t>Fojtů</t>
  </si>
  <si>
    <t>RCMT Bike</t>
  </si>
  <si>
    <t>Orinič</t>
  </si>
  <si>
    <t>Uhříněves</t>
  </si>
  <si>
    <t>Valtr</t>
  </si>
  <si>
    <t>Matěj</t>
  </si>
  <si>
    <t>TRIVA Praha</t>
  </si>
  <si>
    <t>Vyhnálková</t>
  </si>
  <si>
    <t>Marie</t>
  </si>
  <si>
    <t>Barbora</t>
  </si>
  <si>
    <t>Hladký</t>
  </si>
  <si>
    <t xml:space="preserve">Lubo </t>
  </si>
  <si>
    <t>Ondrej</t>
  </si>
  <si>
    <t>x</t>
  </si>
  <si>
    <t>DNF</t>
  </si>
  <si>
    <t>Číslo</t>
  </si>
  <si>
    <t xml:space="preserve"> - neprojel cílovým koridorem, tudíž mu nebyl změřen čas</t>
  </si>
  <si>
    <t>Muži - body do seriálu</t>
  </si>
  <si>
    <t>Pořadí</t>
  </si>
  <si>
    <t>Klub / město / obec</t>
  </si>
  <si>
    <t>Duatlon Újezd nad Lesy</t>
  </si>
  <si>
    <t>MTBO Klánovice</t>
  </si>
  <si>
    <t>XC Úvaly</t>
  </si>
  <si>
    <t>CELKEM</t>
  </si>
  <si>
    <t>Jonáš</t>
  </si>
  <si>
    <t>TriSki Horni Pocernice</t>
  </si>
  <si>
    <t>MA - Akademici</t>
  </si>
  <si>
    <t>petr</t>
  </si>
  <si>
    <t>M1 - Muži 20 - 40 let</t>
  </si>
  <si>
    <t>TT Loko Beroun</t>
  </si>
  <si>
    <t>M2 - Muži nad 40 let</t>
  </si>
  <si>
    <t>Václav</t>
  </si>
  <si>
    <t>CK Mladá Vožice</t>
  </si>
  <si>
    <t>--</t>
  </si>
  <si>
    <t>Černý</t>
  </si>
  <si>
    <t>Ski a Bike centrum Radotín</t>
  </si>
  <si>
    <t>Vorel</t>
  </si>
  <si>
    <t>Ramala</t>
  </si>
  <si>
    <t>rovensko pod troskami</t>
  </si>
  <si>
    <t>Praha 5</t>
  </si>
  <si>
    <t>M0 - Junioři 15 - 19 let</t>
  </si>
  <si>
    <t>merida biking team</t>
  </si>
  <si>
    <t>Tomšů</t>
  </si>
  <si>
    <t>mlýn janderov</t>
  </si>
  <si>
    <t>Polášek</t>
  </si>
  <si>
    <t>Praha - Lipence</t>
  </si>
  <si>
    <t>Jírů</t>
  </si>
  <si>
    <t>Bike service Klecany/Odolena Voda</t>
  </si>
  <si>
    <t>Jirka</t>
  </si>
  <si>
    <t>Kala</t>
  </si>
  <si>
    <t>trisk české budějovice</t>
  </si>
  <si>
    <t>Tuháček</t>
  </si>
  <si>
    <t>Bike tuning team Rudná</t>
  </si>
  <si>
    <t>ho alpin IV</t>
  </si>
  <si>
    <t>Pikner</t>
  </si>
  <si>
    <t>SK Načešická.cz</t>
  </si>
  <si>
    <t>Daniel</t>
  </si>
  <si>
    <t>Nedvídek</t>
  </si>
  <si>
    <t>Triva Pecha</t>
  </si>
  <si>
    <t>Walter</t>
  </si>
  <si>
    <t>Plášil</t>
  </si>
  <si>
    <t>tydýt</t>
  </si>
  <si>
    <t>Doležal</t>
  </si>
  <si>
    <t>factor bike team</t>
  </si>
  <si>
    <t>uhříněves</t>
  </si>
  <si>
    <t>Voráč</t>
  </si>
  <si>
    <t>Sporto.cz</t>
  </si>
  <si>
    <t>Lokomotiva Nymburk</t>
  </si>
  <si>
    <t>Sůva</t>
  </si>
  <si>
    <t>SKC Pečky</t>
  </si>
  <si>
    <t>Barvíř</t>
  </si>
  <si>
    <t>Čížek</t>
  </si>
  <si>
    <t>Praha 7</t>
  </si>
  <si>
    <t>karlovy vary</t>
  </si>
  <si>
    <t>šestajovice</t>
  </si>
  <si>
    <t>Luboš</t>
  </si>
  <si>
    <t>Vokřál</t>
  </si>
  <si>
    <t>Veslaři Bohemians Praha</t>
  </si>
  <si>
    <t>Beran</t>
  </si>
  <si>
    <t>SpinFit Liberec</t>
  </si>
  <si>
    <t>Skappa Horka Říčany</t>
  </si>
  <si>
    <t>čtyřkolský papírák</t>
  </si>
  <si>
    <t xml:space="preserve">Martin </t>
  </si>
  <si>
    <t>Vondrák</t>
  </si>
  <si>
    <t>praha</t>
  </si>
  <si>
    <t>Balík</t>
  </si>
  <si>
    <t>ČerníKoně</t>
  </si>
  <si>
    <t>Timura</t>
  </si>
  <si>
    <t>MT REALITY Biking Team</t>
  </si>
  <si>
    <t>Hudos</t>
  </si>
  <si>
    <t>Klub vytrvalostních sportů Šumperk</t>
  </si>
  <si>
    <t>Praha - Letňany</t>
  </si>
  <si>
    <t>kangsim dojang</t>
  </si>
  <si>
    <t>Radek</t>
  </si>
  <si>
    <t>ledečko</t>
  </si>
  <si>
    <t>Werner</t>
  </si>
  <si>
    <t>Plzen-sever</t>
  </si>
  <si>
    <t>Honsa</t>
  </si>
  <si>
    <t>Kolonie Říčany</t>
  </si>
  <si>
    <t>Vitásek</t>
  </si>
  <si>
    <t>lumpík</t>
  </si>
  <si>
    <t>Vojta</t>
  </si>
  <si>
    <t>Lejsek</t>
  </si>
  <si>
    <t>Tři (piva) pro zdraví</t>
  </si>
  <si>
    <t>Roman</t>
  </si>
  <si>
    <t>Cibulka</t>
  </si>
  <si>
    <t>Niederle</t>
  </si>
  <si>
    <t>Klánovice</t>
  </si>
  <si>
    <t>Bulava</t>
  </si>
  <si>
    <t>Holas</t>
  </si>
  <si>
    <t>Štěpán</t>
  </si>
  <si>
    <t>Vlček</t>
  </si>
  <si>
    <t>Němota</t>
  </si>
  <si>
    <t>Sedláček</t>
  </si>
  <si>
    <t>Aleš</t>
  </si>
  <si>
    <t>Přech</t>
  </si>
  <si>
    <t>Frýdl</t>
  </si>
  <si>
    <t>Franta</t>
  </si>
  <si>
    <t>Kalkus</t>
  </si>
  <si>
    <t>Grerych</t>
  </si>
  <si>
    <t>Krčil</t>
  </si>
  <si>
    <t>Linhart</t>
  </si>
  <si>
    <t>Ženy - body do seriálu</t>
  </si>
  <si>
    <t>Rejmonova</t>
  </si>
  <si>
    <t>Žižkovští tygři</t>
  </si>
  <si>
    <t>Z1 - Ženy nad 20 let</t>
  </si>
  <si>
    <t>Z0 - Juniorky 15 - 19 let</t>
  </si>
  <si>
    <t>Šárka</t>
  </si>
  <si>
    <t>Vejvodová</t>
  </si>
  <si>
    <t>Merida Biking Team</t>
  </si>
  <si>
    <t>ZA - Akademičky</t>
  </si>
  <si>
    <t>Gabriela</t>
  </si>
  <si>
    <t>Klimešová</t>
  </si>
  <si>
    <t>TTC český brod</t>
  </si>
  <si>
    <t xml:space="preserve">Tereza </t>
  </si>
  <si>
    <t>úvaly</t>
  </si>
  <si>
    <t>Pavlína</t>
  </si>
  <si>
    <t>Olšaníková</t>
  </si>
  <si>
    <t>Adéla</t>
  </si>
  <si>
    <t>Kuželová</t>
  </si>
  <si>
    <t>Univerzita Palackého Olomouc</t>
  </si>
  <si>
    <t>Košková</t>
  </si>
  <si>
    <t>Vorlová</t>
  </si>
  <si>
    <t>Balíková</t>
  </si>
  <si>
    <t>Denisa</t>
  </si>
  <si>
    <t>Platilová</t>
  </si>
  <si>
    <t>rarášek o.s.</t>
  </si>
  <si>
    <t>Součková</t>
  </si>
  <si>
    <t>RECOC Praha</t>
  </si>
  <si>
    <t>Cibulková</t>
  </si>
  <si>
    <t>Alena</t>
  </si>
  <si>
    <t>Tesařová</t>
  </si>
  <si>
    <t>FTVS UK</t>
  </si>
  <si>
    <t>Kmoníčková</t>
  </si>
  <si>
    <t>Čérní koně Úvaly</t>
  </si>
  <si>
    <t>Miroslava</t>
  </si>
  <si>
    <t>Dvořáková</t>
  </si>
  <si>
    <t>Praha 3</t>
  </si>
  <si>
    <t>Laňková</t>
  </si>
  <si>
    <t>Předboj</t>
  </si>
  <si>
    <t>Vidimová</t>
  </si>
  <si>
    <t>Horová</t>
  </si>
  <si>
    <t>ATOMBIKE</t>
  </si>
  <si>
    <t>Ráček</t>
  </si>
  <si>
    <t>Uličný</t>
  </si>
  <si>
    <t>Janečková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</si>
</sst>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:mm:ss;@"/>
    <numFmt numFmtId="166" formatCode="[h]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name val="Arial Unicode MS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49" fillId="26" borderId="10" xfId="55" applyBorder="1" applyAlignment="1">
      <alignment/>
    </xf>
    <xf numFmtId="0" fontId="49" fillId="26" borderId="11" xfId="55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33" borderId="0" xfId="0" applyNumberFormat="1" applyFont="1" applyFill="1" applyBorder="1" applyAlignment="1" applyProtection="1">
      <alignment/>
      <protection/>
    </xf>
    <xf numFmtId="1" fontId="9" fillId="34" borderId="15" xfId="0" applyNumberFormat="1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36" applyFont="1" applyAlignment="1" applyProtection="1">
      <alignment horizontal="center"/>
      <protection/>
    </xf>
    <xf numFmtId="0" fontId="7" fillId="0" borderId="0" xfId="36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9" fillId="34" borderId="15" xfId="0" applyNumberFormat="1" applyFont="1" applyFill="1" applyBorder="1" applyAlignment="1" applyProtection="1">
      <alignment horizontal="right"/>
      <protection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9" fillId="34" borderId="18" xfId="0" applyFont="1" applyFill="1" applyBorder="1" applyAlignment="1">
      <alignment/>
    </xf>
    <xf numFmtId="0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13" fillId="33" borderId="20" xfId="0" applyFont="1" applyFill="1" applyBorder="1" applyAlignment="1">
      <alignment/>
    </xf>
    <xf numFmtId="0" fontId="6" fillId="33" borderId="20" xfId="47" applyFont="1" applyFill="1" applyBorder="1">
      <alignment/>
      <protection/>
    </xf>
    <xf numFmtId="0" fontId="0" fillId="33" borderId="20" xfId="0" applyFill="1" applyBorder="1" applyAlignment="1">
      <alignment/>
    </xf>
    <xf numFmtId="0" fontId="0" fillId="0" borderId="20" xfId="0" applyNumberFormat="1" applyBorder="1" applyAlignment="1">
      <alignment/>
    </xf>
    <xf numFmtId="0" fontId="9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6" fillId="0" borderId="20" xfId="47" applyBorder="1">
      <alignment/>
      <protection/>
    </xf>
    <xf numFmtId="0" fontId="6" fillId="33" borderId="20" xfId="47" applyFill="1" applyBorder="1">
      <alignment/>
      <protection/>
    </xf>
    <xf numFmtId="0" fontId="13" fillId="33" borderId="20" xfId="0" applyFont="1" applyFill="1" applyBorder="1" applyAlignment="1" quotePrefix="1">
      <alignment/>
    </xf>
    <xf numFmtId="0" fontId="6" fillId="0" borderId="20" xfId="0" applyFont="1" applyBorder="1" applyAlignment="1">
      <alignment/>
    </xf>
    <xf numFmtId="0" fontId="0" fillId="0" borderId="20" xfId="0" applyNumberFormat="1" applyBorder="1" applyAlignment="1">
      <alignment horizontal="right"/>
    </xf>
    <xf numFmtId="0" fontId="6" fillId="33" borderId="20" xfId="0" applyFont="1" applyFill="1" applyBorder="1" applyAlignment="1">
      <alignment/>
    </xf>
    <xf numFmtId="0" fontId="6" fillId="0" borderId="20" xfId="47" applyFont="1" applyBorder="1">
      <alignment/>
      <protection/>
    </xf>
    <xf numFmtId="0" fontId="51" fillId="0" borderId="20" xfId="0" applyFont="1" applyBorder="1" applyAlignment="1">
      <alignment/>
    </xf>
    <xf numFmtId="0" fontId="51" fillId="0" borderId="20" xfId="0" applyNumberFormat="1" applyFont="1" applyBorder="1" applyAlignment="1">
      <alignment/>
    </xf>
    <xf numFmtId="0" fontId="51" fillId="33" borderId="20" xfId="0" applyFont="1" applyFill="1" applyBorder="1" applyAlignment="1">
      <alignment/>
    </xf>
    <xf numFmtId="0" fontId="52" fillId="0" borderId="20" xfId="0" applyFont="1" applyBorder="1" applyAlignment="1">
      <alignment/>
    </xf>
    <xf numFmtId="0" fontId="33" fillId="0" borderId="2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9" fillId="33" borderId="20" xfId="0" applyFont="1" applyFill="1" applyBorder="1" applyAlignment="1">
      <alignment/>
    </xf>
    <xf numFmtId="0" fontId="33" fillId="0" borderId="20" xfId="0" applyFont="1" applyBorder="1" applyAlignment="1">
      <alignment/>
    </xf>
    <xf numFmtId="0" fontId="51" fillId="0" borderId="0" xfId="0" applyFont="1" applyAlignment="1">
      <alignment/>
    </xf>
    <xf numFmtId="0" fontId="14" fillId="0" borderId="20" xfId="0" applyFont="1" applyBorder="1" applyAlignment="1">
      <alignment/>
    </xf>
    <xf numFmtId="0" fontId="52" fillId="0" borderId="0" xfId="0" applyFont="1" applyAlignment="1">
      <alignment/>
    </xf>
    <xf numFmtId="0" fontId="52" fillId="33" borderId="20" xfId="0" applyFont="1" applyFill="1" applyBorder="1" applyAlignment="1">
      <alignment/>
    </xf>
    <xf numFmtId="0" fontId="52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52" fillId="0" borderId="19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52" fillId="33" borderId="19" xfId="0" applyFont="1" applyFill="1" applyBorder="1" applyAlignment="1">
      <alignment/>
    </xf>
    <xf numFmtId="0" fontId="6" fillId="33" borderId="19" xfId="47" applyFont="1" applyFill="1" applyBorder="1">
      <alignment/>
      <protection/>
    </xf>
    <xf numFmtId="0" fontId="52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33" borderId="20" xfId="0" applyFont="1" applyFill="1" applyBorder="1" applyAlignment="1">
      <alignment/>
    </xf>
    <xf numFmtId="0" fontId="6" fillId="0" borderId="20" xfId="47" applyFont="1" applyFill="1" applyBorder="1">
      <alignment/>
      <protection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 horizontal="right"/>
    </xf>
    <xf numFmtId="0" fontId="52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3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ka duatlon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8.57421875" style="0" customWidth="1"/>
    <col min="2" max="2" width="6.421875" style="7" customWidth="1"/>
    <col min="3" max="4" width="17.7109375" style="0" customWidth="1"/>
    <col min="5" max="5" width="27.57421875" style="0" bestFit="1" customWidth="1"/>
    <col min="6" max="6" width="9.7109375" style="0" customWidth="1"/>
    <col min="7" max="20" width="4.00390625" style="0" bestFit="1" customWidth="1"/>
    <col min="21" max="21" width="4.00390625" style="0" customWidth="1"/>
    <col min="22" max="22" width="6.140625" style="0" customWidth="1"/>
    <col min="23" max="23" width="25.57421875" style="0" customWidth="1"/>
    <col min="24" max="24" width="8.421875" style="0" bestFit="1" customWidth="1"/>
    <col min="25" max="25" width="9.7109375" style="0" customWidth="1"/>
    <col min="26" max="27" width="9.28125" style="0" bestFit="1" customWidth="1"/>
  </cols>
  <sheetData>
    <row r="1" spans="3:22" ht="15" customHeight="1">
      <c r="C1" s="86" t="s">
        <v>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3:22" ht="15" customHeight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3:22" ht="15" customHeight="1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3:22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7:26" ht="15.75" thickBot="1">
      <c r="G5" s="87" t="s">
        <v>5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15"/>
      <c r="Z5" s="6">
        <v>0.06180555555555556</v>
      </c>
    </row>
    <row r="6" spans="1:27" ht="15.75">
      <c r="A6" s="93" t="s">
        <v>2</v>
      </c>
      <c r="B6" s="95" t="s">
        <v>6</v>
      </c>
      <c r="C6" s="90" t="s">
        <v>11</v>
      </c>
      <c r="D6" s="90" t="s">
        <v>10</v>
      </c>
      <c r="E6" s="90" t="s">
        <v>1</v>
      </c>
      <c r="F6" s="90" t="s">
        <v>4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2">
        <v>9</v>
      </c>
      <c r="P6" s="31">
        <v>10</v>
      </c>
      <c r="Q6" s="31">
        <v>11</v>
      </c>
      <c r="R6" s="31">
        <v>12</v>
      </c>
      <c r="S6" s="31">
        <v>13</v>
      </c>
      <c r="T6" s="31">
        <v>14</v>
      </c>
      <c r="U6" s="31">
        <v>15</v>
      </c>
      <c r="V6" s="88" t="s">
        <v>8</v>
      </c>
      <c r="W6" s="88" t="s">
        <v>0</v>
      </c>
      <c r="X6" s="88" t="s">
        <v>7</v>
      </c>
      <c r="Y6" s="97" t="s">
        <v>3</v>
      </c>
      <c r="AA6" s="92" t="s">
        <v>16</v>
      </c>
    </row>
    <row r="7" spans="1:27" ht="15.75" thickBot="1">
      <c r="A7" s="94"/>
      <c r="B7" s="96"/>
      <c r="C7" s="91"/>
      <c r="D7" s="91"/>
      <c r="E7" s="91"/>
      <c r="F7" s="91"/>
      <c r="G7" s="33">
        <v>30</v>
      </c>
      <c r="H7" s="33">
        <v>40</v>
      </c>
      <c r="I7" s="33">
        <v>10</v>
      </c>
      <c r="J7" s="33">
        <v>20</v>
      </c>
      <c r="K7" s="33">
        <v>50</v>
      </c>
      <c r="L7" s="33">
        <v>40</v>
      </c>
      <c r="M7" s="33">
        <v>20</v>
      </c>
      <c r="N7" s="33">
        <v>40</v>
      </c>
      <c r="O7" s="33">
        <v>30</v>
      </c>
      <c r="P7" s="33">
        <v>10</v>
      </c>
      <c r="Q7" s="33">
        <v>40</v>
      </c>
      <c r="R7" s="33">
        <v>20</v>
      </c>
      <c r="S7" s="33">
        <v>20</v>
      </c>
      <c r="T7" s="33">
        <v>30</v>
      </c>
      <c r="U7" s="33">
        <v>30</v>
      </c>
      <c r="V7" s="89"/>
      <c r="W7" s="89"/>
      <c r="X7" s="89"/>
      <c r="Y7" s="98"/>
      <c r="AA7" s="92"/>
    </row>
    <row r="8" spans="1:27" ht="15">
      <c r="A8" s="2">
        <v>1</v>
      </c>
      <c r="B8" s="9">
        <v>91</v>
      </c>
      <c r="C8" s="2" t="str">
        <f>VLOOKUP(B8,Startovka!$A$2:$F$92,2,FALSE)</f>
        <v>Janda</v>
      </c>
      <c r="D8" s="14" t="str">
        <f>VLOOKUP(B8,Startovka!$A$2:$F$92,3,FALSE)</f>
        <v>David</v>
      </c>
      <c r="E8" s="2" t="str">
        <f>VLOOKUP(B8,Startovka!$A$2:$F$92,4,FALSE)</f>
        <v>ATOMBIKE</v>
      </c>
      <c r="F8" s="2" t="str">
        <f>VLOOKUP(B8,Startovka!$A$2:$F$92,6,FALSE)</f>
        <v>MA</v>
      </c>
      <c r="G8" s="14" t="s">
        <v>229</v>
      </c>
      <c r="H8" s="2" t="s">
        <v>229</v>
      </c>
      <c r="I8" s="2" t="s">
        <v>229</v>
      </c>
      <c r="J8" s="2" t="s">
        <v>229</v>
      </c>
      <c r="K8" s="2" t="s">
        <v>229</v>
      </c>
      <c r="L8" s="14" t="s">
        <v>229</v>
      </c>
      <c r="M8" s="14" t="s">
        <v>229</v>
      </c>
      <c r="N8" s="14" t="s">
        <v>229</v>
      </c>
      <c r="O8" s="14" t="s">
        <v>229</v>
      </c>
      <c r="P8" s="14" t="s">
        <v>229</v>
      </c>
      <c r="Q8" s="14" t="s">
        <v>229</v>
      </c>
      <c r="R8" s="14" t="s">
        <v>229</v>
      </c>
      <c r="S8" s="14" t="s">
        <v>229</v>
      </c>
      <c r="T8" s="14" t="s">
        <v>229</v>
      </c>
      <c r="U8" s="14" t="s">
        <v>229</v>
      </c>
      <c r="V8" s="14">
        <f aca="true" t="shared" si="0" ref="V8:V39">IF(X8&lt;=$Z$5,0,10*AA8)</f>
        <v>0</v>
      </c>
      <c r="W8" s="5">
        <f aca="true" t="shared" si="1" ref="W8:W39">SUM(IF(G8="x",$G$7,0),IF(H8="x",$H$7,0),IF(I8="x",$I$7,0),IF(J8="x",$J$7,0),IF(K8="x",$K$7,0),IF(L8="x",$L$7,0),IF(M8="x",$M$7),IF(N8="x",$N$7,0),IF(O8="x",$O$7,0),IF(P8="x",$P$7,0),IF(Q8="x",$Q$7,0),IF(R8="x",$R$7,0),IF(S8="x",$S$7,0),IF(T8="x",$T$7,0),IF(U8="x",$U$7,0),-V8)</f>
        <v>430</v>
      </c>
      <c r="X8" s="39">
        <v>0.05411469907407412</v>
      </c>
      <c r="Y8" s="12">
        <v>1</v>
      </c>
      <c r="AA8" s="7">
        <f aca="true" t="shared" si="2" ref="AA8:AA39">IF(X8&lt;=$Z$5,0,MINUTE(X8-$Z$5))</f>
        <v>0</v>
      </c>
    </row>
    <row r="9" spans="1:27" ht="15">
      <c r="A9" s="14">
        <v>2</v>
      </c>
      <c r="B9" s="8">
        <v>40</v>
      </c>
      <c r="C9" s="14" t="str">
        <f>VLOOKUP(B9,Startovka!$A$2:$F$92,2,FALSE)</f>
        <v>Soukup</v>
      </c>
      <c r="D9" s="14" t="str">
        <f>VLOOKUP(B9,Startovka!$A$2:$F$92,3,FALSE)</f>
        <v>Petr</v>
      </c>
      <c r="E9" s="14" t="str">
        <f>VLOOKUP(B9,Startovka!$A$2:$F$92,4,FALSE)</f>
        <v>YOGI racing team Ostrava</v>
      </c>
      <c r="F9" s="14" t="str">
        <f>VLOOKUP(B9,Startovka!$A$2:$F$92,6,FALSE)</f>
        <v>M1</v>
      </c>
      <c r="G9" s="1" t="s">
        <v>229</v>
      </c>
      <c r="H9" s="1" t="s">
        <v>229</v>
      </c>
      <c r="I9" s="1" t="s">
        <v>229</v>
      </c>
      <c r="J9" s="1" t="s">
        <v>229</v>
      </c>
      <c r="K9" s="1" t="s">
        <v>229</v>
      </c>
      <c r="L9" s="1" t="s">
        <v>229</v>
      </c>
      <c r="M9" s="1" t="s">
        <v>229</v>
      </c>
      <c r="N9" s="1" t="s">
        <v>229</v>
      </c>
      <c r="O9" s="1" t="s">
        <v>229</v>
      </c>
      <c r="P9" s="1" t="s">
        <v>229</v>
      </c>
      <c r="Q9" s="1" t="s">
        <v>229</v>
      </c>
      <c r="R9" s="1" t="s">
        <v>229</v>
      </c>
      <c r="S9" s="1" t="s">
        <v>229</v>
      </c>
      <c r="T9" s="1" t="s">
        <v>229</v>
      </c>
      <c r="U9" s="14" t="s">
        <v>229</v>
      </c>
      <c r="V9" s="14">
        <f t="shared" si="0"/>
        <v>0</v>
      </c>
      <c r="W9" s="5">
        <f t="shared" si="1"/>
        <v>430</v>
      </c>
      <c r="X9" s="40">
        <v>0.05910273148148147</v>
      </c>
      <c r="Y9" s="13">
        <v>1</v>
      </c>
      <c r="AA9" s="7">
        <f t="shared" si="2"/>
        <v>0</v>
      </c>
    </row>
    <row r="10" spans="1:27" ht="15">
      <c r="A10" s="14">
        <v>3</v>
      </c>
      <c r="B10" s="8">
        <v>37</v>
      </c>
      <c r="C10" s="14" t="str">
        <f>VLOOKUP(B10,Startovka!$A$2:$F$92,2,FALSE)</f>
        <v>Klazar</v>
      </c>
      <c r="D10" s="14" t="str">
        <f>VLOOKUP(B10,Startovka!$A$2:$F$92,3,FALSE)</f>
        <v>Milan</v>
      </c>
      <c r="E10" s="14" t="str">
        <f>VLOOKUP(B10,Startovka!$A$2:$F$92,4,FALSE)</f>
        <v>Magic Veterans/Česká Lípa</v>
      </c>
      <c r="F10" s="14" t="str">
        <f>VLOOKUP(B10,Startovka!$A$2:$F$92,6,FALSE)</f>
        <v>M1</v>
      </c>
      <c r="G10" s="1" t="s">
        <v>229</v>
      </c>
      <c r="H10" s="1" t="s">
        <v>229</v>
      </c>
      <c r="I10" s="1" t="s">
        <v>229</v>
      </c>
      <c r="J10" s="1" t="s">
        <v>229</v>
      </c>
      <c r="K10" s="1" t="s">
        <v>229</v>
      </c>
      <c r="L10" s="1" t="s">
        <v>229</v>
      </c>
      <c r="M10" s="1" t="s">
        <v>229</v>
      </c>
      <c r="N10" s="1" t="s">
        <v>229</v>
      </c>
      <c r="O10" s="1" t="s">
        <v>229</v>
      </c>
      <c r="P10" s="1" t="s">
        <v>229</v>
      </c>
      <c r="Q10" s="1" t="s">
        <v>229</v>
      </c>
      <c r="R10" s="1"/>
      <c r="S10" s="1" t="s">
        <v>229</v>
      </c>
      <c r="T10" s="1" t="s">
        <v>229</v>
      </c>
      <c r="U10" s="14" t="s">
        <v>229</v>
      </c>
      <c r="V10" s="14">
        <f t="shared" si="0"/>
        <v>0</v>
      </c>
      <c r="W10" s="5">
        <f t="shared" si="1"/>
        <v>410</v>
      </c>
      <c r="X10" s="40">
        <v>0.056387175925925875</v>
      </c>
      <c r="Y10" s="13">
        <v>2</v>
      </c>
      <c r="AA10" s="7">
        <f t="shared" si="2"/>
        <v>0</v>
      </c>
    </row>
    <row r="11" spans="1:27" ht="15">
      <c r="A11" s="14">
        <v>4</v>
      </c>
      <c r="B11" s="8">
        <v>83</v>
      </c>
      <c r="C11" s="14" t="str">
        <f>VLOOKUP(B11,Startovka!$A$2:$F$92,2,FALSE)</f>
        <v>Dvořák</v>
      </c>
      <c r="D11" s="14" t="str">
        <f>VLOOKUP(B11,Startovka!$A$2:$F$92,3,FALSE)</f>
        <v>Petr</v>
      </c>
      <c r="E11" s="14" t="str">
        <f>VLOOKUP(B11,Startovka!$A$2:$F$92,4,FALSE)</f>
        <v>Ekonom Praha Outdoor</v>
      </c>
      <c r="F11" s="14" t="str">
        <f>VLOOKUP(B11,Startovka!$A$2:$F$92,6,FALSE)</f>
        <v>MA</v>
      </c>
      <c r="G11" s="1" t="s">
        <v>229</v>
      </c>
      <c r="H11" s="1" t="s">
        <v>229</v>
      </c>
      <c r="I11" s="1" t="s">
        <v>229</v>
      </c>
      <c r="J11" s="1" t="s">
        <v>229</v>
      </c>
      <c r="K11" s="1" t="s">
        <v>229</v>
      </c>
      <c r="L11" s="1" t="s">
        <v>229</v>
      </c>
      <c r="M11" s="1" t="s">
        <v>229</v>
      </c>
      <c r="N11" s="1" t="s">
        <v>229</v>
      </c>
      <c r="O11" s="1" t="s">
        <v>229</v>
      </c>
      <c r="P11" s="1"/>
      <c r="Q11" s="1" t="s">
        <v>229</v>
      </c>
      <c r="R11" s="1" t="s">
        <v>229</v>
      </c>
      <c r="S11" s="1" t="s">
        <v>229</v>
      </c>
      <c r="T11" s="1" t="s">
        <v>229</v>
      </c>
      <c r="U11" s="14" t="s">
        <v>229</v>
      </c>
      <c r="V11" s="14">
        <f t="shared" si="0"/>
        <v>10</v>
      </c>
      <c r="W11" s="5">
        <f t="shared" si="1"/>
        <v>410</v>
      </c>
      <c r="X11" s="40">
        <v>0.06315497685185181</v>
      </c>
      <c r="Y11" s="13">
        <v>2</v>
      </c>
      <c r="AA11" s="7">
        <f t="shared" si="2"/>
        <v>1</v>
      </c>
    </row>
    <row r="12" spans="1:27" ht="15">
      <c r="A12" s="14">
        <v>5</v>
      </c>
      <c r="B12" s="8">
        <v>98</v>
      </c>
      <c r="C12" s="14" t="str">
        <f>VLOOKUP(B12,Startovka!$A$2:$F$104,2,FALSE)</f>
        <v>Valtr</v>
      </c>
      <c r="D12" s="14" t="str">
        <f>VLOOKUP(B12,Startovka!$A$2:$F$104,3,FALSE)</f>
        <v>Matěj</v>
      </c>
      <c r="E12" s="14" t="str">
        <f>VLOOKUP(B12,Startovka!$A$2:$F$104,4,FALSE)</f>
        <v>TRIVA Praha</v>
      </c>
      <c r="F12" s="14" t="str">
        <f>VLOOKUP(B12,Startovka!$A$2:$F$104,6,FALSE)</f>
        <v>M1</v>
      </c>
      <c r="G12" s="1" t="s">
        <v>229</v>
      </c>
      <c r="H12" s="1" t="s">
        <v>229</v>
      </c>
      <c r="I12" s="1" t="s">
        <v>229</v>
      </c>
      <c r="J12" s="1" t="s">
        <v>229</v>
      </c>
      <c r="K12" s="1" t="s">
        <v>229</v>
      </c>
      <c r="L12" s="1" t="s">
        <v>229</v>
      </c>
      <c r="M12" s="1" t="s">
        <v>229</v>
      </c>
      <c r="N12" s="1" t="s">
        <v>229</v>
      </c>
      <c r="O12" s="1" t="s">
        <v>229</v>
      </c>
      <c r="P12" s="1" t="s">
        <v>229</v>
      </c>
      <c r="Q12" s="1" t="s">
        <v>229</v>
      </c>
      <c r="R12" s="1" t="s">
        <v>229</v>
      </c>
      <c r="S12" s="1" t="s">
        <v>229</v>
      </c>
      <c r="T12" s="1" t="s">
        <v>229</v>
      </c>
      <c r="U12" s="14" t="s">
        <v>229</v>
      </c>
      <c r="V12" s="14">
        <f t="shared" si="0"/>
        <v>20</v>
      </c>
      <c r="W12" s="5">
        <f t="shared" si="1"/>
        <v>410</v>
      </c>
      <c r="X12" s="40">
        <v>0.06376157407407407</v>
      </c>
      <c r="Y12" s="13">
        <v>3</v>
      </c>
      <c r="AA12" s="7">
        <f t="shared" si="2"/>
        <v>2</v>
      </c>
    </row>
    <row r="13" spans="1:27" ht="15">
      <c r="A13" s="14">
        <v>6</v>
      </c>
      <c r="B13" s="8">
        <v>84</v>
      </c>
      <c r="C13" s="14" t="str">
        <f>VLOOKUP(B13,Startovka!$A$2:$F$92,2,FALSE)</f>
        <v>Ondráček</v>
      </c>
      <c r="D13" s="14" t="str">
        <f>VLOOKUP(B13,Startovka!$A$2:$F$92,3,FALSE)</f>
        <v>Radim</v>
      </c>
      <c r="E13" s="14" t="str">
        <f>VLOOKUP(B13,Startovka!$A$2:$F$92,4,FALSE)</f>
        <v>OB Ekonom Praha</v>
      </c>
      <c r="F13" s="14" t="str">
        <f>VLOOKUP(B13,Startovka!$A$2:$F$92,6,FALSE)</f>
        <v>M1</v>
      </c>
      <c r="G13" s="1" t="s">
        <v>229</v>
      </c>
      <c r="H13" s="1" t="s">
        <v>229</v>
      </c>
      <c r="I13" s="1" t="s">
        <v>229</v>
      </c>
      <c r="J13" s="1" t="s">
        <v>229</v>
      </c>
      <c r="K13" s="1"/>
      <c r="L13" s="1" t="s">
        <v>229</v>
      </c>
      <c r="M13" s="1" t="s">
        <v>229</v>
      </c>
      <c r="N13" s="1" t="s">
        <v>229</v>
      </c>
      <c r="O13" s="1" t="s">
        <v>229</v>
      </c>
      <c r="P13" s="1" t="s">
        <v>229</v>
      </c>
      <c r="Q13" s="1" t="s">
        <v>229</v>
      </c>
      <c r="R13" s="1" t="s">
        <v>229</v>
      </c>
      <c r="S13" s="1" t="s">
        <v>229</v>
      </c>
      <c r="T13" s="1" t="s">
        <v>229</v>
      </c>
      <c r="U13" s="14" t="s">
        <v>229</v>
      </c>
      <c r="V13" s="14">
        <f t="shared" si="0"/>
        <v>0</v>
      </c>
      <c r="W13" s="5">
        <f t="shared" si="1"/>
        <v>380</v>
      </c>
      <c r="X13" s="40">
        <v>0.05996942129629631</v>
      </c>
      <c r="Y13" s="13">
        <v>4</v>
      </c>
      <c r="AA13" s="7">
        <f t="shared" si="2"/>
        <v>0</v>
      </c>
    </row>
    <row r="14" spans="1:27" ht="15">
      <c r="A14" s="14">
        <v>7</v>
      </c>
      <c r="B14" s="8">
        <v>34</v>
      </c>
      <c r="C14" s="14" t="str">
        <f>VLOOKUP(B14,Startovka!$A$2:$F$92,2,FALSE)</f>
        <v>Sýkora</v>
      </c>
      <c r="D14" s="14" t="str">
        <f>VLOOKUP(B14,Startovka!$A$2:$F$92,3,FALSE)</f>
        <v>Jakub</v>
      </c>
      <c r="E14" s="14" t="str">
        <f>VLOOKUP(B14,Startovka!$A$2:$F$92,4,FALSE)</f>
        <v>Český Brod</v>
      </c>
      <c r="F14" s="14" t="str">
        <f>VLOOKUP(B14,Startovka!$A$2:$F$92,6,FALSE)</f>
        <v>M1</v>
      </c>
      <c r="G14" s="1" t="s">
        <v>229</v>
      </c>
      <c r="H14" s="1" t="s">
        <v>229</v>
      </c>
      <c r="I14" s="1" t="s">
        <v>229</v>
      </c>
      <c r="J14" s="1" t="s">
        <v>229</v>
      </c>
      <c r="K14" s="1" t="s">
        <v>229</v>
      </c>
      <c r="L14" s="1" t="s">
        <v>229</v>
      </c>
      <c r="M14" s="1" t="s">
        <v>229</v>
      </c>
      <c r="N14" s="1" t="s">
        <v>229</v>
      </c>
      <c r="O14" s="1" t="s">
        <v>229</v>
      </c>
      <c r="P14" s="1" t="s">
        <v>229</v>
      </c>
      <c r="Q14" s="1" t="s">
        <v>229</v>
      </c>
      <c r="R14" s="1"/>
      <c r="S14" s="1" t="s">
        <v>229</v>
      </c>
      <c r="T14" s="1" t="s">
        <v>229</v>
      </c>
      <c r="U14" s="14" t="s">
        <v>229</v>
      </c>
      <c r="V14" s="14">
        <f t="shared" si="0"/>
        <v>30</v>
      </c>
      <c r="W14" s="5">
        <f t="shared" si="1"/>
        <v>380</v>
      </c>
      <c r="X14" s="40">
        <v>0.06433549768518518</v>
      </c>
      <c r="Y14" s="13">
        <v>5</v>
      </c>
      <c r="AA14" s="7">
        <f t="shared" si="2"/>
        <v>3</v>
      </c>
    </row>
    <row r="15" spans="1:27" ht="15">
      <c r="A15" s="14">
        <v>8</v>
      </c>
      <c r="B15" s="8">
        <v>46</v>
      </c>
      <c r="C15" s="14" t="str">
        <f>VLOOKUP(B15,Startovka!$A$2:$F$92,2,FALSE)</f>
        <v>Kabát</v>
      </c>
      <c r="D15" s="14" t="str">
        <f>VLOOKUP(B15,Startovka!$A$2:$F$92,3,FALSE)</f>
        <v>Jan</v>
      </c>
      <c r="E15" s="14" t="str">
        <f>VLOOKUP(B15,Startovka!$A$2:$F$92,4,FALSE)</f>
        <v>Ekonom Praha</v>
      </c>
      <c r="F15" s="14" t="str">
        <f>VLOOKUP(B15,Startovka!$A$2:$F$92,6,FALSE)</f>
        <v>M2</v>
      </c>
      <c r="G15" s="1" t="s">
        <v>229</v>
      </c>
      <c r="H15" s="1" t="s">
        <v>229</v>
      </c>
      <c r="I15" s="1" t="s">
        <v>229</v>
      </c>
      <c r="J15" s="1" t="s">
        <v>229</v>
      </c>
      <c r="K15" s="1"/>
      <c r="L15" s="1" t="s">
        <v>229</v>
      </c>
      <c r="M15" s="1" t="s">
        <v>229</v>
      </c>
      <c r="N15" s="1" t="s">
        <v>229</v>
      </c>
      <c r="O15" s="1" t="s">
        <v>229</v>
      </c>
      <c r="P15" s="1"/>
      <c r="Q15" s="1" t="s">
        <v>229</v>
      </c>
      <c r="R15" s="1" t="s">
        <v>229</v>
      </c>
      <c r="S15" s="1" t="s">
        <v>229</v>
      </c>
      <c r="T15" s="14" t="s">
        <v>229</v>
      </c>
      <c r="U15" s="14" t="s">
        <v>229</v>
      </c>
      <c r="V15" s="14">
        <f t="shared" si="0"/>
        <v>0</v>
      </c>
      <c r="W15" s="5">
        <f t="shared" si="1"/>
        <v>370</v>
      </c>
      <c r="X15" s="40">
        <v>0.061191168981481456</v>
      </c>
      <c r="Y15" s="13">
        <v>1</v>
      </c>
      <c r="AA15" s="7">
        <f t="shared" si="2"/>
        <v>0</v>
      </c>
    </row>
    <row r="16" spans="1:27" ht="15">
      <c r="A16" s="14">
        <v>9</v>
      </c>
      <c r="B16" s="8">
        <v>10</v>
      </c>
      <c r="C16" s="14" t="str">
        <f>VLOOKUP(B16,Startovka!$A$2:$F$92,2,FALSE)</f>
        <v>Rejmonová</v>
      </c>
      <c r="D16" s="14" t="str">
        <f>VLOOKUP(B16,Startovka!$A$2:$F$92,3,FALSE)</f>
        <v>Jana</v>
      </c>
      <c r="E16" s="14" t="str">
        <f>VLOOKUP(B16,Startovka!$A$2:$F$92,4,FALSE)</f>
        <v>Žižkovský Tygři</v>
      </c>
      <c r="F16" s="14" t="str">
        <f>VLOOKUP(B16,Startovka!$A$2:$F$92,6,FALSE)</f>
        <v>Z1</v>
      </c>
      <c r="G16" s="1" t="s">
        <v>229</v>
      </c>
      <c r="H16" s="1" t="s">
        <v>229</v>
      </c>
      <c r="I16" s="1"/>
      <c r="J16" s="1" t="s">
        <v>229</v>
      </c>
      <c r="K16" s="1"/>
      <c r="L16" s="1" t="s">
        <v>229</v>
      </c>
      <c r="M16" s="1" t="s">
        <v>229</v>
      </c>
      <c r="N16" s="1" t="s">
        <v>229</v>
      </c>
      <c r="O16" s="1" t="s">
        <v>229</v>
      </c>
      <c r="P16" s="1" t="s">
        <v>229</v>
      </c>
      <c r="Q16" s="1" t="s">
        <v>229</v>
      </c>
      <c r="R16" s="1" t="s">
        <v>229</v>
      </c>
      <c r="S16" s="1" t="s">
        <v>229</v>
      </c>
      <c r="T16" s="1" t="s">
        <v>229</v>
      </c>
      <c r="U16" s="14" t="s">
        <v>229</v>
      </c>
      <c r="V16" s="14">
        <f t="shared" si="0"/>
        <v>0</v>
      </c>
      <c r="W16" s="5">
        <f t="shared" si="1"/>
        <v>370</v>
      </c>
      <c r="X16" s="40">
        <v>0.0613905092592593</v>
      </c>
      <c r="Y16" s="13">
        <v>1</v>
      </c>
      <c r="AA16" s="7">
        <f t="shared" si="2"/>
        <v>0</v>
      </c>
    </row>
    <row r="17" spans="1:27" ht="15">
      <c r="A17" s="14">
        <v>10</v>
      </c>
      <c r="B17" s="8">
        <v>82</v>
      </c>
      <c r="C17" s="14" t="str">
        <f>VLOOKUP(B17,Startovka!$A$2:$F$92,2,FALSE)</f>
        <v>Pruner</v>
      </c>
      <c r="D17" s="14" t="str">
        <f>VLOOKUP(B17,Startovka!$A$2:$F$92,3,FALSE)</f>
        <v>Petr</v>
      </c>
      <c r="E17" s="14" t="str">
        <f>VLOOKUP(B17,Startovka!$A$2:$F$92,4,FALSE)</f>
        <v>Ekonom Praha Outdoor</v>
      </c>
      <c r="F17" s="14" t="str">
        <f>VLOOKUP(B17,Startovka!$A$2:$F$92,6,FALSE)</f>
        <v>MA</v>
      </c>
      <c r="G17" s="1" t="s">
        <v>229</v>
      </c>
      <c r="H17" s="1" t="s">
        <v>229</v>
      </c>
      <c r="I17" s="1" t="s">
        <v>229</v>
      </c>
      <c r="J17" s="1" t="s">
        <v>229</v>
      </c>
      <c r="K17" s="1" t="s">
        <v>229</v>
      </c>
      <c r="L17" s="1" t="s">
        <v>229</v>
      </c>
      <c r="M17" s="1" t="s">
        <v>229</v>
      </c>
      <c r="N17" s="1" t="s">
        <v>229</v>
      </c>
      <c r="O17" s="1" t="s">
        <v>229</v>
      </c>
      <c r="P17" s="1" t="s">
        <v>229</v>
      </c>
      <c r="Q17" s="1" t="s">
        <v>229</v>
      </c>
      <c r="R17" s="1"/>
      <c r="S17" s="1"/>
      <c r="T17" s="1"/>
      <c r="U17" s="14" t="s">
        <v>229</v>
      </c>
      <c r="V17" s="14">
        <f t="shared" si="0"/>
        <v>0</v>
      </c>
      <c r="W17" s="5">
        <f t="shared" si="1"/>
        <v>360</v>
      </c>
      <c r="X17" s="40">
        <v>0.05974335648148151</v>
      </c>
      <c r="Y17" s="13">
        <v>3</v>
      </c>
      <c r="AA17" s="7">
        <f t="shared" si="2"/>
        <v>0</v>
      </c>
    </row>
    <row r="18" spans="1:27" ht="15">
      <c r="A18" s="14">
        <v>11</v>
      </c>
      <c r="B18" s="8">
        <v>95</v>
      </c>
      <c r="C18" s="14" t="str">
        <f>VLOOKUP(B18,Startovka!$A$2:$F$104,2,FALSE)</f>
        <v>Janecek</v>
      </c>
      <c r="D18" s="14" t="str">
        <f>VLOOKUP(B18,Startovka!$A$2:$F$104,3,FALSE)</f>
        <v>Ondrej</v>
      </c>
      <c r="E18" s="14" t="str">
        <f>VLOOKUP(B18,Startovka!$A$2:$F$104,4,FALSE)</f>
        <v>Ujezd</v>
      </c>
      <c r="F18" s="14" t="str">
        <f>VLOOKUP(B18,Startovka!$A$2:$F$104,6,FALSE)</f>
        <v>M1</v>
      </c>
      <c r="G18" s="1" t="s">
        <v>229</v>
      </c>
      <c r="H18" s="1" t="s">
        <v>229</v>
      </c>
      <c r="I18" s="1" t="s">
        <v>229</v>
      </c>
      <c r="J18" s="1" t="s">
        <v>229</v>
      </c>
      <c r="K18" s="1"/>
      <c r="L18" s="1" t="s">
        <v>229</v>
      </c>
      <c r="M18" s="1" t="s">
        <v>229</v>
      </c>
      <c r="N18" s="1" t="s">
        <v>229</v>
      </c>
      <c r="O18" s="1" t="s">
        <v>229</v>
      </c>
      <c r="P18" s="1" t="s">
        <v>229</v>
      </c>
      <c r="Q18" s="1" t="s">
        <v>229</v>
      </c>
      <c r="R18" s="1"/>
      <c r="S18" s="1" t="s">
        <v>229</v>
      </c>
      <c r="T18" s="1" t="s">
        <v>229</v>
      </c>
      <c r="U18" s="14" t="s">
        <v>229</v>
      </c>
      <c r="V18" s="14">
        <f t="shared" si="0"/>
        <v>0</v>
      </c>
      <c r="W18" s="5">
        <f t="shared" si="1"/>
        <v>360</v>
      </c>
      <c r="X18" s="40">
        <v>0.061709849537037016</v>
      </c>
      <c r="Y18" s="13">
        <v>6</v>
      </c>
      <c r="AA18" s="7">
        <f t="shared" si="2"/>
        <v>0</v>
      </c>
    </row>
    <row r="19" spans="1:27" ht="15">
      <c r="A19" s="14">
        <v>12</v>
      </c>
      <c r="B19" s="8">
        <v>39</v>
      </c>
      <c r="C19" s="14" t="str">
        <f>VLOOKUP(B19,Startovka!$A$2:$F$92,2,FALSE)</f>
        <v>Rožek</v>
      </c>
      <c r="D19" s="14" t="str">
        <f>VLOOKUP(B19,Startovka!$A$2:$F$92,3,FALSE)</f>
        <v>David</v>
      </c>
      <c r="E19" s="14" t="str">
        <f>VLOOKUP(B19,Startovka!$A$2:$F$92,4,FALSE)</f>
        <v>Říčany</v>
      </c>
      <c r="F19" s="14" t="str">
        <f>VLOOKUP(B19,Startovka!$A$2:$F$92,6,FALSE)</f>
        <v>M1</v>
      </c>
      <c r="G19" s="1" t="s">
        <v>229</v>
      </c>
      <c r="H19" s="1" t="s">
        <v>229</v>
      </c>
      <c r="I19" s="1" t="s">
        <v>229</v>
      </c>
      <c r="J19" s="1" t="s">
        <v>229</v>
      </c>
      <c r="K19" s="1" t="s">
        <v>229</v>
      </c>
      <c r="L19" s="1" t="s">
        <v>229</v>
      </c>
      <c r="M19" s="1" t="s">
        <v>229</v>
      </c>
      <c r="N19" s="1" t="s">
        <v>229</v>
      </c>
      <c r="O19" s="1" t="s">
        <v>229</v>
      </c>
      <c r="P19" s="1" t="s">
        <v>229</v>
      </c>
      <c r="Q19" s="1" t="s">
        <v>229</v>
      </c>
      <c r="R19" s="1" t="s">
        <v>229</v>
      </c>
      <c r="S19" s="1"/>
      <c r="T19" s="1" t="s">
        <v>229</v>
      </c>
      <c r="U19" s="14" t="s">
        <v>229</v>
      </c>
      <c r="V19" s="14">
        <f t="shared" si="0"/>
        <v>50</v>
      </c>
      <c r="W19" s="5">
        <f t="shared" si="1"/>
        <v>360</v>
      </c>
      <c r="X19" s="40">
        <v>0.06535276620370367</v>
      </c>
      <c r="Y19" s="13">
        <v>7</v>
      </c>
      <c r="AA19" s="7">
        <f t="shared" si="2"/>
        <v>5</v>
      </c>
    </row>
    <row r="20" spans="1:27" ht="15">
      <c r="A20" s="14">
        <v>13</v>
      </c>
      <c r="B20" s="8">
        <v>58</v>
      </c>
      <c r="C20" s="14" t="str">
        <f>VLOOKUP(B20,Startovka!$A$2:$F$92,2,FALSE)</f>
        <v>Pucherna</v>
      </c>
      <c r="D20" s="14" t="str">
        <f>VLOOKUP(B20,Startovka!$A$2:$F$92,3,FALSE)</f>
        <v>Petr</v>
      </c>
      <c r="E20" s="14" t="str">
        <f>VLOOKUP(B20,Startovka!$A$2:$F$92,4,FALSE)</f>
        <v>Erpéčko</v>
      </c>
      <c r="F20" s="14" t="str">
        <f>VLOOKUP(B20,Startovka!$A$2:$F$92,6,FALSE)</f>
        <v>M1</v>
      </c>
      <c r="G20" s="1" t="s">
        <v>229</v>
      </c>
      <c r="H20" s="1" t="s">
        <v>229</v>
      </c>
      <c r="I20" s="1" t="s">
        <v>229</v>
      </c>
      <c r="J20" s="1" t="s">
        <v>229</v>
      </c>
      <c r="K20" s="1" t="s">
        <v>229</v>
      </c>
      <c r="L20" s="1" t="s">
        <v>229</v>
      </c>
      <c r="M20" s="1" t="s">
        <v>229</v>
      </c>
      <c r="N20" s="1" t="s">
        <v>229</v>
      </c>
      <c r="O20" s="1" t="s">
        <v>229</v>
      </c>
      <c r="P20" s="1"/>
      <c r="Q20" s="1" t="s">
        <v>229</v>
      </c>
      <c r="R20" s="1" t="s">
        <v>229</v>
      </c>
      <c r="S20" s="1" t="s">
        <v>229</v>
      </c>
      <c r="T20" s="1" t="s">
        <v>229</v>
      </c>
      <c r="U20" s="14" t="s">
        <v>229</v>
      </c>
      <c r="V20" s="14">
        <f t="shared" si="0"/>
        <v>60</v>
      </c>
      <c r="W20" s="5">
        <f t="shared" si="1"/>
        <v>360</v>
      </c>
      <c r="X20" s="40">
        <v>0.06658307870370365</v>
      </c>
      <c r="Y20" s="13">
        <v>8</v>
      </c>
      <c r="AA20" s="7">
        <f t="shared" si="2"/>
        <v>6</v>
      </c>
    </row>
    <row r="21" spans="1:27" ht="15">
      <c r="A21" s="14">
        <v>14</v>
      </c>
      <c r="B21" s="8">
        <v>78</v>
      </c>
      <c r="C21" s="14" t="str">
        <f>VLOOKUP(B21,Startovka!$A$2:$F$92,2,FALSE)</f>
        <v>Křížek</v>
      </c>
      <c r="D21" s="14" t="str">
        <f>VLOOKUP(B21,Startovka!$A$2:$F$92,3,FALSE)</f>
        <v>Tomáš</v>
      </c>
      <c r="E21" s="14" t="str">
        <f>VLOOKUP(B21,Startovka!$A$2:$F$92,4,FALSE)</f>
        <v>Dým Tým</v>
      </c>
      <c r="F21" s="14" t="str">
        <f>VLOOKUP(B21,Startovka!$A$2:$F$92,6,FALSE)</f>
        <v>MA</v>
      </c>
      <c r="G21" s="1" t="s">
        <v>229</v>
      </c>
      <c r="H21" s="1" t="s">
        <v>229</v>
      </c>
      <c r="I21" s="1" t="s">
        <v>229</v>
      </c>
      <c r="J21" s="1" t="s">
        <v>229</v>
      </c>
      <c r="K21" s="1"/>
      <c r="L21" s="1" t="s">
        <v>229</v>
      </c>
      <c r="M21" s="1" t="s">
        <v>229</v>
      </c>
      <c r="N21" s="1" t="s">
        <v>229</v>
      </c>
      <c r="O21" s="1" t="s">
        <v>229</v>
      </c>
      <c r="P21" s="1" t="s">
        <v>229</v>
      </c>
      <c r="Q21" s="1" t="s">
        <v>229</v>
      </c>
      <c r="R21" s="1" t="s">
        <v>229</v>
      </c>
      <c r="S21" s="1" t="s">
        <v>229</v>
      </c>
      <c r="T21" s="1" t="s">
        <v>229</v>
      </c>
      <c r="U21" s="14"/>
      <c r="V21" s="14">
        <f t="shared" si="0"/>
        <v>0</v>
      </c>
      <c r="W21" s="5">
        <f t="shared" si="1"/>
        <v>350</v>
      </c>
      <c r="X21" s="40">
        <v>0.06168325231481484</v>
      </c>
      <c r="Y21" s="13">
        <v>4</v>
      </c>
      <c r="AA21" s="7">
        <f t="shared" si="2"/>
        <v>0</v>
      </c>
    </row>
    <row r="22" spans="1:27" ht="15">
      <c r="A22" s="14">
        <v>15</v>
      </c>
      <c r="B22" s="8">
        <v>48</v>
      </c>
      <c r="C22" s="14" t="str">
        <f>VLOOKUP(B22,Startovka!$A$2:$F$92,2,FALSE)</f>
        <v>Martinovský</v>
      </c>
      <c r="D22" s="14" t="str">
        <f>VLOOKUP(B22,Startovka!$A$2:$F$92,3,FALSE)</f>
        <v>Ondřej</v>
      </c>
      <c r="E22" s="14" t="str">
        <f>VLOOKUP(B22,Startovka!$A$2:$F$92,4,FALSE)</f>
        <v>CK Úvaly</v>
      </c>
      <c r="F22" s="14" t="str">
        <f>VLOOKUP(B22,Startovka!$A$2:$F$92,6,FALSE)</f>
        <v>M1</v>
      </c>
      <c r="G22" s="1" t="s">
        <v>229</v>
      </c>
      <c r="H22" s="1" t="s">
        <v>229</v>
      </c>
      <c r="I22" s="1" t="s">
        <v>229</v>
      </c>
      <c r="J22" s="1" t="s">
        <v>229</v>
      </c>
      <c r="K22" s="1" t="s">
        <v>229</v>
      </c>
      <c r="L22" s="1" t="s">
        <v>229</v>
      </c>
      <c r="M22" s="1" t="s">
        <v>229</v>
      </c>
      <c r="N22" s="1" t="s">
        <v>229</v>
      </c>
      <c r="O22" s="1" t="s">
        <v>229</v>
      </c>
      <c r="P22" s="1" t="s">
        <v>229</v>
      </c>
      <c r="Q22" s="1" t="s">
        <v>229</v>
      </c>
      <c r="R22" s="1"/>
      <c r="S22" s="1"/>
      <c r="T22" s="1"/>
      <c r="U22" s="14" t="s">
        <v>229</v>
      </c>
      <c r="V22" s="14">
        <f t="shared" si="0"/>
        <v>10</v>
      </c>
      <c r="W22" s="5">
        <f t="shared" si="1"/>
        <v>350</v>
      </c>
      <c r="X22" s="40">
        <v>0.06294004629629625</v>
      </c>
      <c r="Y22" s="13">
        <v>9</v>
      </c>
      <c r="AA22" s="7">
        <f t="shared" si="2"/>
        <v>1</v>
      </c>
    </row>
    <row r="23" spans="1:27" ht="15">
      <c r="A23" s="14">
        <v>16</v>
      </c>
      <c r="B23" s="8">
        <v>43</v>
      </c>
      <c r="C23" s="14" t="str">
        <f>VLOOKUP(B23,Startovka!$A$2:$F$92,2,FALSE)</f>
        <v>Bartoň</v>
      </c>
      <c r="D23" s="14" t="str">
        <f>VLOOKUP(B23,Startovka!$A$2:$F$92,3,FALSE)</f>
        <v>Jiří</v>
      </c>
      <c r="E23" s="14" t="str">
        <f>VLOOKUP(B23,Startovka!$A$2:$F$92,4,FALSE)</f>
        <v>ČeMBA</v>
      </c>
      <c r="F23" s="14" t="str">
        <f>VLOOKUP(B23,Startovka!$A$2:$F$92,6,FALSE)</f>
        <v>MA</v>
      </c>
      <c r="G23" s="1" t="s">
        <v>229</v>
      </c>
      <c r="H23" s="1"/>
      <c r="I23" s="1" t="s">
        <v>229</v>
      </c>
      <c r="J23" s="1" t="s">
        <v>229</v>
      </c>
      <c r="K23" s="1"/>
      <c r="L23" s="1" t="s">
        <v>229</v>
      </c>
      <c r="M23" s="1" t="s">
        <v>229</v>
      </c>
      <c r="N23" s="1" t="s">
        <v>229</v>
      </c>
      <c r="O23" s="1" t="s">
        <v>229</v>
      </c>
      <c r="P23" s="1" t="s">
        <v>229</v>
      </c>
      <c r="Q23" s="1" t="s">
        <v>229</v>
      </c>
      <c r="R23" s="1" t="s">
        <v>229</v>
      </c>
      <c r="S23" s="1" t="s">
        <v>229</v>
      </c>
      <c r="T23" s="1" t="s">
        <v>229</v>
      </c>
      <c r="U23" s="14" t="s">
        <v>229</v>
      </c>
      <c r="V23" s="14">
        <f t="shared" si="0"/>
        <v>0</v>
      </c>
      <c r="W23" s="5">
        <f t="shared" si="1"/>
        <v>340</v>
      </c>
      <c r="X23" s="40">
        <v>0.059432546296296254</v>
      </c>
      <c r="Y23" s="13">
        <v>5</v>
      </c>
      <c r="AA23" s="7">
        <f t="shared" si="2"/>
        <v>0</v>
      </c>
    </row>
    <row r="24" spans="1:29" ht="15">
      <c r="A24" s="14">
        <v>17</v>
      </c>
      <c r="B24" s="8">
        <v>65</v>
      </c>
      <c r="C24" s="14" t="str">
        <f>VLOOKUP(B24,Startovka!$A$2:$F$92,2,FALSE)</f>
        <v>Levá</v>
      </c>
      <c r="D24" s="14" t="str">
        <f>VLOOKUP(B24,Startovka!$A$2:$F$92,3,FALSE)</f>
        <v>Eva</v>
      </c>
      <c r="E24" s="14" t="str">
        <f>VLOOKUP(B24,Startovka!$A$2:$F$92,4,FALSE)</f>
        <v>žaket team</v>
      </c>
      <c r="F24" s="14" t="str">
        <f>VLOOKUP(B24,Startovka!$A$2:$F$92,6,FALSE)</f>
        <v>Z1</v>
      </c>
      <c r="G24" s="1" t="s">
        <v>229</v>
      </c>
      <c r="H24" s="1" t="s">
        <v>229</v>
      </c>
      <c r="I24" s="1"/>
      <c r="J24" s="1" t="s">
        <v>229</v>
      </c>
      <c r="K24" s="1" t="s">
        <v>229</v>
      </c>
      <c r="L24" s="1" t="s">
        <v>229</v>
      </c>
      <c r="M24" s="1"/>
      <c r="N24" s="1" t="s">
        <v>229</v>
      </c>
      <c r="O24" s="1" t="s">
        <v>229</v>
      </c>
      <c r="P24" s="1" t="s">
        <v>229</v>
      </c>
      <c r="Q24" s="1" t="s">
        <v>229</v>
      </c>
      <c r="R24" s="1"/>
      <c r="S24" s="1" t="s">
        <v>229</v>
      </c>
      <c r="T24" s="1"/>
      <c r="U24" s="14" t="s">
        <v>229</v>
      </c>
      <c r="V24" s="14">
        <f t="shared" si="0"/>
        <v>10</v>
      </c>
      <c r="W24" s="5">
        <f t="shared" si="1"/>
        <v>340</v>
      </c>
      <c r="X24" s="40">
        <v>0.06275539351851853</v>
      </c>
      <c r="Y24" s="13">
        <v>2</v>
      </c>
      <c r="AA24" s="7">
        <f t="shared" si="2"/>
        <v>1</v>
      </c>
      <c r="AC24" t="s">
        <v>17</v>
      </c>
    </row>
    <row r="25" spans="1:27" ht="15">
      <c r="A25" s="14">
        <v>18</v>
      </c>
      <c r="B25" s="8">
        <v>52</v>
      </c>
      <c r="C25" s="14" t="str">
        <f>VLOOKUP(B25,Startovka!$A$2:$F$92,2,FALSE)</f>
        <v>Taške</v>
      </c>
      <c r="D25" s="14" t="str">
        <f>VLOOKUP(B25,Startovka!$A$2:$F$92,3,FALSE)</f>
        <v>Iva</v>
      </c>
      <c r="E25" s="14" t="str">
        <f>VLOOKUP(B25,Startovka!$A$2:$F$92,4,FALSE)</f>
        <v>Rarášek - Újezd nad Lesy</v>
      </c>
      <c r="F25" s="14" t="str">
        <f>VLOOKUP(B25,Startovka!$A$2:$F$92,6,FALSE)</f>
        <v>Z1</v>
      </c>
      <c r="G25" s="1" t="s">
        <v>229</v>
      </c>
      <c r="H25" s="1" t="s">
        <v>229</v>
      </c>
      <c r="I25" s="1" t="s">
        <v>229</v>
      </c>
      <c r="J25" s="1" t="s">
        <v>229</v>
      </c>
      <c r="K25" s="1" t="s">
        <v>229</v>
      </c>
      <c r="L25" s="1" t="s">
        <v>229</v>
      </c>
      <c r="M25" s="1"/>
      <c r="N25" s="1" t="s">
        <v>229</v>
      </c>
      <c r="O25" s="1" t="s">
        <v>229</v>
      </c>
      <c r="P25" s="1"/>
      <c r="Q25" s="1" t="s">
        <v>229</v>
      </c>
      <c r="R25" s="1"/>
      <c r="S25" s="1" t="s">
        <v>229</v>
      </c>
      <c r="T25" s="1"/>
      <c r="U25" s="14" t="s">
        <v>229</v>
      </c>
      <c r="V25" s="14">
        <f t="shared" si="0"/>
        <v>20</v>
      </c>
      <c r="W25" s="5">
        <f t="shared" si="1"/>
        <v>330</v>
      </c>
      <c r="X25" s="40">
        <v>0.06322581018518515</v>
      </c>
      <c r="Y25" s="13">
        <v>3</v>
      </c>
      <c r="AA25" s="7">
        <f t="shared" si="2"/>
        <v>2</v>
      </c>
    </row>
    <row r="26" spans="1:27" ht="15">
      <c r="A26" s="14">
        <v>19</v>
      </c>
      <c r="B26" s="8">
        <v>51</v>
      </c>
      <c r="C26" s="14" t="str">
        <f>VLOOKUP(B26,Startovka!$A$2:$F$92,2,FALSE)</f>
        <v>Kulíková</v>
      </c>
      <c r="D26" s="14" t="str">
        <f>VLOOKUP(B26,Startovka!$A$2:$F$92,3,FALSE)</f>
        <v>Kateřina</v>
      </c>
      <c r="E26" s="14">
        <f>VLOOKUP(B26,Startovka!$A$2:$F$92,4,FALSE)</f>
        <v>0</v>
      </c>
      <c r="F26" s="14" t="str">
        <f>VLOOKUP(B26,Startovka!$A$2:$F$92,6,FALSE)</f>
        <v>Z1</v>
      </c>
      <c r="G26" s="1" t="s">
        <v>229</v>
      </c>
      <c r="H26" s="1" t="s">
        <v>229</v>
      </c>
      <c r="I26" s="1" t="s">
        <v>229</v>
      </c>
      <c r="J26" s="1" t="s">
        <v>229</v>
      </c>
      <c r="K26" s="1" t="s">
        <v>229</v>
      </c>
      <c r="L26" s="1" t="s">
        <v>229</v>
      </c>
      <c r="M26" s="1"/>
      <c r="N26" s="1" t="s">
        <v>229</v>
      </c>
      <c r="O26" s="1" t="s">
        <v>229</v>
      </c>
      <c r="P26" s="1"/>
      <c r="Q26" s="1" t="s">
        <v>229</v>
      </c>
      <c r="R26" s="1"/>
      <c r="S26" s="1" t="s">
        <v>229</v>
      </c>
      <c r="T26" s="1"/>
      <c r="U26" s="14" t="s">
        <v>229</v>
      </c>
      <c r="V26" s="14">
        <f t="shared" si="0"/>
        <v>20</v>
      </c>
      <c r="W26" s="5">
        <f t="shared" si="1"/>
        <v>330</v>
      </c>
      <c r="X26" s="40">
        <v>0.06345982638888885</v>
      </c>
      <c r="Y26" s="13">
        <v>4</v>
      </c>
      <c r="AA26" s="7">
        <f t="shared" si="2"/>
        <v>2</v>
      </c>
    </row>
    <row r="27" spans="1:27" ht="15">
      <c r="A27" s="14">
        <v>20</v>
      </c>
      <c r="B27" s="8">
        <v>47</v>
      </c>
      <c r="C27" s="14" t="str">
        <f>VLOOKUP(B27,Startovka!$A$2:$F$92,2,FALSE)</f>
        <v>Šumera</v>
      </c>
      <c r="D27" s="14" t="str">
        <f>VLOOKUP(B27,Startovka!$A$2:$F$92,3,FALSE)</f>
        <v>Martin</v>
      </c>
      <c r="E27" s="14" t="str">
        <f>VLOOKUP(B27,Startovka!$A$2:$F$92,4,FALSE)</f>
        <v>CK Uvaly</v>
      </c>
      <c r="F27" s="14" t="str">
        <f>VLOOKUP(B27,Startovka!$A$2:$F$92,6,FALSE)</f>
        <v>M1</v>
      </c>
      <c r="G27" s="1" t="s">
        <v>229</v>
      </c>
      <c r="H27" s="1" t="s">
        <v>229</v>
      </c>
      <c r="I27" s="1" t="s">
        <v>229</v>
      </c>
      <c r="J27" s="1" t="s">
        <v>229</v>
      </c>
      <c r="K27" s="1" t="s">
        <v>229</v>
      </c>
      <c r="L27" s="1" t="s">
        <v>229</v>
      </c>
      <c r="M27" s="1" t="s">
        <v>229</v>
      </c>
      <c r="N27" s="1" t="s">
        <v>229</v>
      </c>
      <c r="O27" s="1" t="s">
        <v>229</v>
      </c>
      <c r="P27" s="1" t="s">
        <v>229</v>
      </c>
      <c r="Q27" s="1" t="s">
        <v>229</v>
      </c>
      <c r="R27" s="1" t="s">
        <v>229</v>
      </c>
      <c r="S27" s="1" t="s">
        <v>229</v>
      </c>
      <c r="T27" s="1" t="s">
        <v>229</v>
      </c>
      <c r="U27" s="14" t="s">
        <v>229</v>
      </c>
      <c r="V27" s="14">
        <f t="shared" si="0"/>
        <v>100</v>
      </c>
      <c r="W27" s="5">
        <f t="shared" si="1"/>
        <v>330</v>
      </c>
      <c r="X27" s="40">
        <v>0.06902915509259255</v>
      </c>
      <c r="Y27" s="13">
        <v>10</v>
      </c>
      <c r="AA27" s="7">
        <f t="shared" si="2"/>
        <v>10</v>
      </c>
    </row>
    <row r="28" spans="1:27" ht="15">
      <c r="A28" s="14">
        <v>21</v>
      </c>
      <c r="B28" s="8">
        <v>33</v>
      </c>
      <c r="C28" s="14" t="str">
        <f>VLOOKUP(B28,Startovka!$A$2:$F$92,2,FALSE)</f>
        <v>Gabryšová</v>
      </c>
      <c r="D28" s="14" t="str">
        <f>VLOOKUP(B28,Startovka!$A$2:$F$92,3,FALSE)</f>
        <v>Tereza</v>
      </c>
      <c r="E28" s="14" t="str">
        <f>VLOOKUP(B28,Startovka!$A$2:$F$92,4,FALSE)</f>
        <v>Koloděje</v>
      </c>
      <c r="F28" s="14" t="str">
        <f>VLOOKUP(B28,Startovka!$A$2:$F$92,6,FALSE)</f>
        <v>Z1</v>
      </c>
      <c r="G28" s="1" t="s">
        <v>229</v>
      </c>
      <c r="H28" s="1" t="s">
        <v>229</v>
      </c>
      <c r="I28" s="1" t="s">
        <v>229</v>
      </c>
      <c r="J28" s="1" t="s">
        <v>229</v>
      </c>
      <c r="K28" s="1" t="s">
        <v>229</v>
      </c>
      <c r="L28" s="1"/>
      <c r="M28" s="1" t="s">
        <v>229</v>
      </c>
      <c r="N28" s="1"/>
      <c r="O28" s="1"/>
      <c r="P28" s="1" t="s">
        <v>229</v>
      </c>
      <c r="Q28" s="1" t="s">
        <v>229</v>
      </c>
      <c r="R28" s="1" t="s">
        <v>229</v>
      </c>
      <c r="S28" s="1" t="s">
        <v>229</v>
      </c>
      <c r="T28" s="1" t="s">
        <v>229</v>
      </c>
      <c r="U28" s="14" t="s">
        <v>229</v>
      </c>
      <c r="V28" s="14">
        <f t="shared" si="0"/>
        <v>0</v>
      </c>
      <c r="W28" s="5">
        <f t="shared" si="1"/>
        <v>320</v>
      </c>
      <c r="X28" s="40">
        <v>0.057949363425925875</v>
      </c>
      <c r="Y28" s="13">
        <v>5</v>
      </c>
      <c r="AA28" s="7">
        <f t="shared" si="2"/>
        <v>0</v>
      </c>
    </row>
    <row r="29" spans="1:27" ht="15">
      <c r="A29" s="14">
        <v>22</v>
      </c>
      <c r="B29" s="8">
        <v>32</v>
      </c>
      <c r="C29" s="14" t="str">
        <f>VLOOKUP(B29,Startovka!$A$2:$F$92,2,FALSE)</f>
        <v>Gabryš</v>
      </c>
      <c r="D29" s="14" t="str">
        <f>VLOOKUP(B29,Startovka!$A$2:$F$92,3,FALSE)</f>
        <v>Lubomír</v>
      </c>
      <c r="E29" s="14" t="str">
        <f>VLOOKUP(B29,Startovka!$A$2:$F$92,4,FALSE)</f>
        <v>Koloděje</v>
      </c>
      <c r="F29" s="14" t="str">
        <f>VLOOKUP(B29,Startovka!$A$2:$F$92,6,FALSE)</f>
        <v>M2</v>
      </c>
      <c r="G29" s="1" t="s">
        <v>229</v>
      </c>
      <c r="H29" s="1" t="s">
        <v>229</v>
      </c>
      <c r="I29" s="1" t="s">
        <v>229</v>
      </c>
      <c r="J29" s="1" t="s">
        <v>229</v>
      </c>
      <c r="K29" s="1" t="s">
        <v>229</v>
      </c>
      <c r="L29" s="1"/>
      <c r="M29" s="1" t="s">
        <v>229</v>
      </c>
      <c r="N29" s="1"/>
      <c r="O29" s="1"/>
      <c r="P29" s="1" t="s">
        <v>229</v>
      </c>
      <c r="Q29" s="1" t="s">
        <v>229</v>
      </c>
      <c r="R29" s="1" t="s">
        <v>229</v>
      </c>
      <c r="S29" s="1" t="s">
        <v>229</v>
      </c>
      <c r="T29" s="1" t="s">
        <v>229</v>
      </c>
      <c r="U29" s="14" t="s">
        <v>229</v>
      </c>
      <c r="V29" s="14">
        <f t="shared" si="0"/>
        <v>0</v>
      </c>
      <c r="W29" s="5">
        <f t="shared" si="1"/>
        <v>320</v>
      </c>
      <c r="X29" s="40">
        <v>0.057996018518518475</v>
      </c>
      <c r="Y29" s="13">
        <v>2</v>
      </c>
      <c r="AA29" s="7">
        <f t="shared" si="2"/>
        <v>0</v>
      </c>
    </row>
    <row r="30" spans="1:27" ht="15">
      <c r="A30" s="14">
        <v>23</v>
      </c>
      <c r="B30" s="8">
        <v>75</v>
      </c>
      <c r="C30" s="14" t="str">
        <f>VLOOKUP(B30,Startovka!$A$2:$F$92,2,FALSE)</f>
        <v>Vít</v>
      </c>
      <c r="D30" s="14" t="str">
        <f>VLOOKUP(B30,Startovka!$A$2:$F$92,3,FALSE)</f>
        <v>Jakub</v>
      </c>
      <c r="E30" s="14" t="str">
        <f>VLOOKUP(B30,Startovka!$A$2:$F$92,4,FALSE)</f>
        <v>Cykloservis Petr</v>
      </c>
      <c r="F30" s="14" t="str">
        <f>VLOOKUP(B30,Startovka!$A$2:$F$92,6,FALSE)</f>
        <v>M1</v>
      </c>
      <c r="G30" s="1"/>
      <c r="H30" s="1" t="s">
        <v>229</v>
      </c>
      <c r="I30" s="1" t="s">
        <v>229</v>
      </c>
      <c r="J30" s="1" t="s">
        <v>229</v>
      </c>
      <c r="K30" s="1"/>
      <c r="L30" s="1" t="s">
        <v>229</v>
      </c>
      <c r="M30" s="1" t="s">
        <v>229</v>
      </c>
      <c r="N30" s="1" t="s">
        <v>229</v>
      </c>
      <c r="O30" s="1" t="s">
        <v>229</v>
      </c>
      <c r="P30" s="1"/>
      <c r="Q30" s="1" t="s">
        <v>229</v>
      </c>
      <c r="R30" s="1"/>
      <c r="S30" s="1" t="s">
        <v>229</v>
      </c>
      <c r="T30" s="1" t="s">
        <v>229</v>
      </c>
      <c r="U30" s="14" t="s">
        <v>229</v>
      </c>
      <c r="V30" s="14">
        <f t="shared" si="0"/>
        <v>0</v>
      </c>
      <c r="W30" s="5">
        <f t="shared" si="1"/>
        <v>320</v>
      </c>
      <c r="X30" s="40">
        <v>0.05848752314814814</v>
      </c>
      <c r="Y30" s="13">
        <v>11</v>
      </c>
      <c r="AA30" s="7">
        <f t="shared" si="2"/>
        <v>0</v>
      </c>
    </row>
    <row r="31" spans="1:27" ht="15">
      <c r="A31" s="14">
        <v>24</v>
      </c>
      <c r="B31" s="8">
        <v>67</v>
      </c>
      <c r="C31" s="14" t="str">
        <f>VLOOKUP(B31,Startovka!$A$2:$F$92,2,FALSE)</f>
        <v>Novák</v>
      </c>
      <c r="D31" s="14" t="str">
        <f>VLOOKUP(B31,Startovka!$A$2:$F$92,3,FALSE)</f>
        <v>Lukáš</v>
      </c>
      <c r="E31" s="14" t="str">
        <f>VLOOKUP(B31,Startovka!$A$2:$F$92,4,FALSE)</f>
        <v>AC Saké Kateřinky</v>
      </c>
      <c r="F31" s="14" t="str">
        <f>VLOOKUP(B31,Startovka!$A$2:$F$92,6,FALSE)</f>
        <v>M1</v>
      </c>
      <c r="G31" s="1"/>
      <c r="H31" s="1" t="s">
        <v>229</v>
      </c>
      <c r="I31" s="1" t="s">
        <v>229</v>
      </c>
      <c r="J31" s="1" t="s">
        <v>229</v>
      </c>
      <c r="K31" s="1"/>
      <c r="L31" s="1" t="s">
        <v>229</v>
      </c>
      <c r="M31" s="1"/>
      <c r="N31" s="1" t="s">
        <v>229</v>
      </c>
      <c r="O31" s="1" t="s">
        <v>229</v>
      </c>
      <c r="P31" s="1"/>
      <c r="Q31" s="1" t="s">
        <v>229</v>
      </c>
      <c r="R31" s="1" t="s">
        <v>229</v>
      </c>
      <c r="S31" s="1" t="s">
        <v>229</v>
      </c>
      <c r="T31" s="1" t="s">
        <v>229</v>
      </c>
      <c r="U31" s="14" t="s">
        <v>229</v>
      </c>
      <c r="V31" s="14">
        <f t="shared" si="0"/>
        <v>0</v>
      </c>
      <c r="W31" s="5">
        <f t="shared" si="1"/>
        <v>320</v>
      </c>
      <c r="X31" s="40">
        <v>0.06022484953703703</v>
      </c>
      <c r="Y31" s="13">
        <v>12</v>
      </c>
      <c r="AA31" s="7">
        <f t="shared" si="2"/>
        <v>0</v>
      </c>
    </row>
    <row r="32" spans="1:27" ht="15">
      <c r="A32" s="14">
        <v>25</v>
      </c>
      <c r="B32" s="8">
        <v>14</v>
      </c>
      <c r="C32" s="14" t="str">
        <f>VLOOKUP(B32,Startovka!$A$2:$F$92,2,FALSE)</f>
        <v>Čokrtová</v>
      </c>
      <c r="D32" s="14" t="str">
        <f>VLOOKUP(B32,Startovka!$A$2:$F$92,3,FALSE)</f>
        <v>Kateřina</v>
      </c>
      <c r="E32" s="14" t="str">
        <f>VLOOKUP(B32,Startovka!$A$2:$F$92,4,FALSE)</f>
        <v>TTC Český Brod</v>
      </c>
      <c r="F32" s="14" t="str">
        <f>VLOOKUP(B32,Startovka!$A$2:$F$92,6,FALSE)</f>
        <v>Z0</v>
      </c>
      <c r="G32" s="1" t="s">
        <v>229</v>
      </c>
      <c r="H32" s="1" t="s">
        <v>229</v>
      </c>
      <c r="I32" s="1" t="s">
        <v>229</v>
      </c>
      <c r="J32" s="1" t="s">
        <v>229</v>
      </c>
      <c r="K32" s="1" t="s">
        <v>229</v>
      </c>
      <c r="L32" s="1" t="s">
        <v>229</v>
      </c>
      <c r="M32" s="1" t="s">
        <v>229</v>
      </c>
      <c r="N32" s="1" t="s">
        <v>229</v>
      </c>
      <c r="O32" s="1" t="s">
        <v>229</v>
      </c>
      <c r="P32" s="1" t="s">
        <v>229</v>
      </c>
      <c r="Q32" s="1"/>
      <c r="R32" s="1"/>
      <c r="S32" s="1"/>
      <c r="T32" s="1"/>
      <c r="U32" s="14" t="s">
        <v>229</v>
      </c>
      <c r="V32" s="14">
        <f t="shared" si="0"/>
        <v>0</v>
      </c>
      <c r="W32" s="5">
        <f t="shared" si="1"/>
        <v>320</v>
      </c>
      <c r="X32" s="40">
        <v>0.0602876851851852</v>
      </c>
      <c r="Y32" s="13">
        <v>1</v>
      </c>
      <c r="AA32" s="7">
        <f t="shared" si="2"/>
        <v>0</v>
      </c>
    </row>
    <row r="33" spans="1:27" ht="15">
      <c r="A33" s="14">
        <v>26</v>
      </c>
      <c r="B33" s="8">
        <v>12</v>
      </c>
      <c r="C33" s="14" t="str">
        <f>VLOOKUP(B33,Startovka!$A$2:$F$92,2,FALSE)</f>
        <v>Čokrtová</v>
      </c>
      <c r="D33" s="14" t="str">
        <f>VLOOKUP(B33,Startovka!$A$2:$F$92,3,FALSE)</f>
        <v>Jana</v>
      </c>
      <c r="E33" s="14" t="str">
        <f>VLOOKUP(B33,Startovka!$A$2:$F$92,4,FALSE)</f>
        <v>TTC Český Brod</v>
      </c>
      <c r="F33" s="14" t="str">
        <f>VLOOKUP(B33,Startovka!$A$2:$F$92,6,FALSE)</f>
        <v>Z0</v>
      </c>
      <c r="G33" s="1" t="s">
        <v>229</v>
      </c>
      <c r="H33" s="1" t="s">
        <v>229</v>
      </c>
      <c r="I33" s="1" t="s">
        <v>229</v>
      </c>
      <c r="J33" s="1" t="s">
        <v>229</v>
      </c>
      <c r="K33" s="1" t="s">
        <v>229</v>
      </c>
      <c r="L33" s="1" t="s">
        <v>229</v>
      </c>
      <c r="M33" s="1" t="s">
        <v>229</v>
      </c>
      <c r="N33" s="1" t="s">
        <v>229</v>
      </c>
      <c r="O33" s="1" t="s">
        <v>229</v>
      </c>
      <c r="P33" s="1" t="s">
        <v>229</v>
      </c>
      <c r="Q33" s="1"/>
      <c r="R33" s="1"/>
      <c r="S33" s="1"/>
      <c r="T33" s="1"/>
      <c r="U33" s="14" t="s">
        <v>229</v>
      </c>
      <c r="V33" s="14">
        <f t="shared" si="0"/>
        <v>0</v>
      </c>
      <c r="W33" s="5">
        <f t="shared" si="1"/>
        <v>320</v>
      </c>
      <c r="X33" s="40">
        <v>0.0603431597222222</v>
      </c>
      <c r="Y33" s="13">
        <v>2</v>
      </c>
      <c r="AA33" s="7">
        <f t="shared" si="2"/>
        <v>0</v>
      </c>
    </row>
    <row r="34" spans="1:27" ht="15">
      <c r="A34" s="14">
        <v>27</v>
      </c>
      <c r="B34" s="8">
        <v>13</v>
      </c>
      <c r="C34" s="14" t="str">
        <f>VLOOKUP(B34,Startovka!$A$2:$F$92,2,FALSE)</f>
        <v>Čokrtová</v>
      </c>
      <c r="D34" s="14" t="str">
        <f>VLOOKUP(B34,Startovka!$A$2:$F$92,3,FALSE)</f>
        <v>Eva</v>
      </c>
      <c r="E34" s="14" t="str">
        <f>VLOOKUP(B34,Startovka!$A$2:$F$92,4,FALSE)</f>
        <v>TTC Český Brod</v>
      </c>
      <c r="F34" s="14" t="str">
        <f>VLOOKUP(B34,Startovka!$A$2:$F$92,6,FALSE)</f>
        <v>ZA</v>
      </c>
      <c r="G34" s="1" t="s">
        <v>229</v>
      </c>
      <c r="H34" s="1" t="s">
        <v>229</v>
      </c>
      <c r="I34" s="1" t="s">
        <v>229</v>
      </c>
      <c r="J34" s="1" t="s">
        <v>229</v>
      </c>
      <c r="K34" s="1" t="s">
        <v>229</v>
      </c>
      <c r="L34" s="1" t="s">
        <v>229</v>
      </c>
      <c r="M34" s="1" t="s">
        <v>229</v>
      </c>
      <c r="N34" s="1" t="s">
        <v>229</v>
      </c>
      <c r="O34" s="1" t="s">
        <v>229</v>
      </c>
      <c r="P34" s="1" t="s">
        <v>229</v>
      </c>
      <c r="Q34" s="1"/>
      <c r="R34" s="1"/>
      <c r="S34" s="1"/>
      <c r="T34" s="1"/>
      <c r="U34" s="14" t="s">
        <v>229</v>
      </c>
      <c r="V34" s="14">
        <f t="shared" si="0"/>
        <v>0</v>
      </c>
      <c r="W34" s="5">
        <f t="shared" si="1"/>
        <v>320</v>
      </c>
      <c r="X34" s="40">
        <v>0.0608773611111111</v>
      </c>
      <c r="Y34" s="13">
        <v>1</v>
      </c>
      <c r="AA34" s="7">
        <f t="shared" si="2"/>
        <v>0</v>
      </c>
    </row>
    <row r="35" spans="1:27" ht="15">
      <c r="A35" s="14">
        <v>28</v>
      </c>
      <c r="B35" s="8">
        <v>94</v>
      </c>
      <c r="C35" s="14" t="str">
        <f>VLOOKUP(B35,Startovka!$A$2:$F$104,2,FALSE)</f>
        <v>Janeckova</v>
      </c>
      <c r="D35" s="14" t="str">
        <f>VLOOKUP(B35,Startovka!$A$2:$F$104,3,FALSE)</f>
        <v>Veronika</v>
      </c>
      <c r="E35" s="14" t="str">
        <f>VLOOKUP(B35,Startovka!$A$2:$F$104,4,FALSE)</f>
        <v>Ujezd</v>
      </c>
      <c r="F35" s="14" t="s">
        <v>39</v>
      </c>
      <c r="G35" s="1" t="s">
        <v>229</v>
      </c>
      <c r="H35" s="1" t="s">
        <v>229</v>
      </c>
      <c r="I35" s="1" t="s">
        <v>229</v>
      </c>
      <c r="J35" s="1" t="s">
        <v>229</v>
      </c>
      <c r="K35" s="1"/>
      <c r="L35" s="1" t="s">
        <v>229</v>
      </c>
      <c r="M35" s="1" t="s">
        <v>229</v>
      </c>
      <c r="N35" s="1" t="s">
        <v>229</v>
      </c>
      <c r="O35" s="1" t="s">
        <v>229</v>
      </c>
      <c r="P35" s="1"/>
      <c r="Q35" s="1" t="s">
        <v>229</v>
      </c>
      <c r="R35" s="1"/>
      <c r="S35" s="1" t="s">
        <v>229</v>
      </c>
      <c r="T35" s="1"/>
      <c r="U35" s="14" t="s">
        <v>229</v>
      </c>
      <c r="V35" s="14">
        <f t="shared" si="0"/>
        <v>0</v>
      </c>
      <c r="W35" s="5">
        <f t="shared" si="1"/>
        <v>320</v>
      </c>
      <c r="X35" s="40">
        <v>0.06212708333333331</v>
      </c>
      <c r="Y35" s="13">
        <v>6</v>
      </c>
      <c r="AA35" s="7">
        <f t="shared" si="2"/>
        <v>0</v>
      </c>
    </row>
    <row r="36" spans="1:27" ht="15">
      <c r="A36" s="14">
        <v>29</v>
      </c>
      <c r="B36" s="8">
        <v>64</v>
      </c>
      <c r="C36" s="14" t="str">
        <f>VLOOKUP(B36,Startovka!$A$2:$F$92,2,FALSE)</f>
        <v>Maleček</v>
      </c>
      <c r="D36" s="14" t="str">
        <f>VLOOKUP(B36,Startovka!$A$2:$F$92,3,FALSE)</f>
        <v>Martin</v>
      </c>
      <c r="E36" s="14" t="str">
        <f>VLOOKUP(B36,Startovka!$A$2:$F$92,4,FALSE)</f>
        <v>Žižkovský Tygři</v>
      </c>
      <c r="F36" s="14" t="str">
        <f>VLOOKUP(B36,Startovka!$A$2:$F$92,6,FALSE)</f>
        <v>M1</v>
      </c>
      <c r="G36" s="1"/>
      <c r="H36" s="1"/>
      <c r="I36" s="1"/>
      <c r="J36" s="1" t="s">
        <v>229</v>
      </c>
      <c r="K36" s="1" t="s">
        <v>229</v>
      </c>
      <c r="L36" s="1" t="s">
        <v>229</v>
      </c>
      <c r="M36" s="1" t="s">
        <v>229</v>
      </c>
      <c r="N36" s="1" t="s">
        <v>229</v>
      </c>
      <c r="O36" s="1" t="s">
        <v>229</v>
      </c>
      <c r="P36" s="1" t="s">
        <v>229</v>
      </c>
      <c r="Q36" s="1" t="s">
        <v>229</v>
      </c>
      <c r="R36" s="1" t="s">
        <v>229</v>
      </c>
      <c r="S36" s="1" t="s">
        <v>229</v>
      </c>
      <c r="T36" s="1" t="s">
        <v>229</v>
      </c>
      <c r="U36" s="14" t="s">
        <v>229</v>
      </c>
      <c r="V36" s="14">
        <f t="shared" si="0"/>
        <v>30</v>
      </c>
      <c r="W36" s="5">
        <f t="shared" si="1"/>
        <v>320</v>
      </c>
      <c r="X36" s="40">
        <v>0.06399305555555553</v>
      </c>
      <c r="Y36" s="13">
        <v>13</v>
      </c>
      <c r="AA36" s="7">
        <f t="shared" si="2"/>
        <v>3</v>
      </c>
    </row>
    <row r="37" spans="1:27" ht="15">
      <c r="A37" s="14">
        <v>30</v>
      </c>
      <c r="B37" s="8">
        <v>38</v>
      </c>
      <c r="C37" s="14" t="str">
        <f>VLOOKUP(B37,Startovka!$A$2:$F$92,2,FALSE)</f>
        <v>Čapek</v>
      </c>
      <c r="D37" s="14" t="str">
        <f>VLOOKUP(B37,Startovka!$A$2:$F$92,3,FALSE)</f>
        <v>Jiří</v>
      </c>
      <c r="E37" s="14" t="str">
        <f>VLOOKUP(B37,Startovka!$A$2:$F$92,4,FALSE)</f>
        <v>CK Úvaly</v>
      </c>
      <c r="F37" s="14" t="str">
        <f>VLOOKUP(B37,Startovka!$A$2:$F$92,6,FALSE)</f>
        <v>M1</v>
      </c>
      <c r="G37" s="1"/>
      <c r="H37" s="1"/>
      <c r="I37" s="1"/>
      <c r="J37" s="1" t="s">
        <v>229</v>
      </c>
      <c r="K37" s="1"/>
      <c r="L37" s="1" t="s">
        <v>229</v>
      </c>
      <c r="M37" s="1" t="s">
        <v>229</v>
      </c>
      <c r="N37" s="1" t="s">
        <v>229</v>
      </c>
      <c r="O37" s="1" t="s">
        <v>229</v>
      </c>
      <c r="P37" s="1" t="s">
        <v>229</v>
      </c>
      <c r="Q37" s="1" t="s">
        <v>229</v>
      </c>
      <c r="R37" s="1" t="s">
        <v>229</v>
      </c>
      <c r="S37" s="1" t="s">
        <v>229</v>
      </c>
      <c r="T37" s="1" t="s">
        <v>229</v>
      </c>
      <c r="U37" s="14" t="s">
        <v>229</v>
      </c>
      <c r="V37" s="14">
        <f t="shared" si="0"/>
        <v>0</v>
      </c>
      <c r="W37" s="5">
        <f t="shared" si="1"/>
        <v>300</v>
      </c>
      <c r="X37" s="40">
        <v>0.05944601851851848</v>
      </c>
      <c r="Y37" s="13">
        <v>14</v>
      </c>
      <c r="AA37" s="7">
        <f t="shared" si="2"/>
        <v>0</v>
      </c>
    </row>
    <row r="38" spans="1:27" ht="15">
      <c r="A38" s="14">
        <v>31</v>
      </c>
      <c r="B38" s="8">
        <v>62</v>
      </c>
      <c r="C38" s="14" t="str">
        <f>VLOOKUP(B38,Startovka!$A$2:$F$92,2,FALSE)</f>
        <v>Hladík</v>
      </c>
      <c r="D38" s="14" t="str">
        <f>VLOOKUP(B38,Startovka!$A$2:$F$92,3,FALSE)</f>
        <v>Martin</v>
      </c>
      <c r="E38" s="14" t="str">
        <f>VLOOKUP(B38,Startovka!$A$2:$F$92,4,FALSE)</f>
        <v>no swiss</v>
      </c>
      <c r="F38" s="14" t="str">
        <f>VLOOKUP(B38,Startovka!$A$2:$F$92,6,FALSE)</f>
        <v>M1</v>
      </c>
      <c r="G38" s="1" t="s">
        <v>229</v>
      </c>
      <c r="H38" s="1" t="s">
        <v>229</v>
      </c>
      <c r="I38" s="1" t="s">
        <v>229</v>
      </c>
      <c r="J38" s="1" t="s">
        <v>229</v>
      </c>
      <c r="K38" s="1" t="s">
        <v>229</v>
      </c>
      <c r="L38" s="1" t="s">
        <v>229</v>
      </c>
      <c r="M38" s="1" t="s">
        <v>229</v>
      </c>
      <c r="N38" s="1" t="s">
        <v>229</v>
      </c>
      <c r="O38" s="1" t="s">
        <v>229</v>
      </c>
      <c r="P38" s="1" t="s">
        <v>229</v>
      </c>
      <c r="Q38" s="1"/>
      <c r="R38" s="1"/>
      <c r="S38" s="1"/>
      <c r="T38" s="1"/>
      <c r="U38" s="14"/>
      <c r="V38" s="14">
        <f t="shared" si="0"/>
        <v>0</v>
      </c>
      <c r="W38" s="5">
        <f t="shared" si="1"/>
        <v>290</v>
      </c>
      <c r="X38" s="40">
        <v>0.05742603009259264</v>
      </c>
      <c r="Y38" s="13">
        <v>15</v>
      </c>
      <c r="AA38" s="7">
        <f t="shared" si="2"/>
        <v>0</v>
      </c>
    </row>
    <row r="39" spans="1:27" ht="15">
      <c r="A39" s="14">
        <v>32</v>
      </c>
      <c r="B39" s="8">
        <v>93</v>
      </c>
      <c r="C39" s="14" t="str">
        <f>VLOOKUP(B39,Startovka!$A$2:$F$104,2,FALSE)</f>
        <v>Izáková</v>
      </c>
      <c r="D39" s="14" t="str">
        <f>VLOOKUP(B39,Startovka!$A$2:$F$104,3,FALSE)</f>
        <v>Ivana</v>
      </c>
      <c r="E39" s="14" t="str">
        <f>VLOOKUP(B39,Startovka!$A$2:$F$104,4,FALSE)</f>
        <v>Koloděje</v>
      </c>
      <c r="F39" s="14" t="s">
        <v>39</v>
      </c>
      <c r="G39" s="1" t="s">
        <v>229</v>
      </c>
      <c r="H39" s="1" t="s">
        <v>229</v>
      </c>
      <c r="I39" s="1" t="s">
        <v>229</v>
      </c>
      <c r="J39" s="1" t="s">
        <v>229</v>
      </c>
      <c r="K39" s="1" t="s">
        <v>229</v>
      </c>
      <c r="L39" s="1" t="s">
        <v>229</v>
      </c>
      <c r="M39" s="1" t="s">
        <v>229</v>
      </c>
      <c r="N39" s="1" t="s">
        <v>229</v>
      </c>
      <c r="O39" s="1" t="s">
        <v>229</v>
      </c>
      <c r="P39" s="1" t="s">
        <v>229</v>
      </c>
      <c r="Q39" s="1"/>
      <c r="R39" s="1"/>
      <c r="S39" s="1"/>
      <c r="T39" s="1"/>
      <c r="U39" s="14"/>
      <c r="V39" s="14">
        <f t="shared" si="0"/>
        <v>0</v>
      </c>
      <c r="W39" s="5">
        <f t="shared" si="1"/>
        <v>290</v>
      </c>
      <c r="X39" s="40">
        <v>0.05775060185185182</v>
      </c>
      <c r="Y39" s="13">
        <v>7</v>
      </c>
      <c r="AA39" s="7">
        <f t="shared" si="2"/>
        <v>0</v>
      </c>
    </row>
    <row r="40" spans="1:27" ht="15">
      <c r="A40" s="14">
        <v>33</v>
      </c>
      <c r="B40" s="8">
        <v>50</v>
      </c>
      <c r="C40" s="14" t="str">
        <f>VLOOKUP(B40,Startovka!$A$2:$F$92,2,FALSE)</f>
        <v>Franěk</v>
      </c>
      <c r="D40" s="14" t="str">
        <f>VLOOKUP(B40,Startovka!$A$2:$F$92,3,FALSE)</f>
        <v>Miroslav</v>
      </c>
      <c r="E40" s="14" t="str">
        <f>VLOOKUP(B40,Startovka!$A$2:$F$92,4,FALSE)</f>
        <v>no swiss</v>
      </c>
      <c r="F40" s="14" t="str">
        <f>VLOOKUP(B40,Startovka!$A$2:$F$92,6,FALSE)</f>
        <v>M1</v>
      </c>
      <c r="G40" s="1" t="s">
        <v>229</v>
      </c>
      <c r="H40" s="1" t="s">
        <v>229</v>
      </c>
      <c r="I40" s="1" t="s">
        <v>229</v>
      </c>
      <c r="J40" s="1"/>
      <c r="K40" s="1"/>
      <c r="L40" s="1" t="s">
        <v>229</v>
      </c>
      <c r="M40" s="1"/>
      <c r="N40" s="1" t="s">
        <v>229</v>
      </c>
      <c r="O40" s="1" t="s">
        <v>229</v>
      </c>
      <c r="P40" s="1" t="s">
        <v>229</v>
      </c>
      <c r="Q40" s="1" t="s">
        <v>229</v>
      </c>
      <c r="R40" s="1"/>
      <c r="S40" s="1" t="s">
        <v>229</v>
      </c>
      <c r="T40" s="1"/>
      <c r="U40" s="14" t="s">
        <v>229</v>
      </c>
      <c r="V40" s="14">
        <f aca="true" t="shared" si="3" ref="V40:V57">IF(X40&lt;=$Z$5,0,10*AA40)</f>
        <v>0</v>
      </c>
      <c r="W40" s="5">
        <f aca="true" t="shared" si="4" ref="W40:W71">SUM(IF(G40="x",$G$7,0),IF(H40="x",$H$7,0),IF(I40="x",$I$7,0),IF(J40="x",$J$7,0),IF(K40="x",$K$7,0),IF(L40="x",$L$7,0),IF(M40="x",$M$7),IF(N40="x",$N$7,0),IF(O40="x",$O$7,0),IF(P40="x",$P$7,0),IF(Q40="x",$Q$7,0),IF(R40="x",$R$7,0),IF(S40="x",$S$7,0),IF(T40="x",$T$7,0),IF(U40="x",$U$7,0),-V40)</f>
        <v>290</v>
      </c>
      <c r="X40" s="40">
        <v>0.05968689814814815</v>
      </c>
      <c r="Y40" s="13">
        <v>16</v>
      </c>
      <c r="AA40" s="7">
        <f aca="true" t="shared" si="5" ref="AA40:AA57">IF(X40&lt;=$Z$5,0,MINUTE(X40-$Z$5))</f>
        <v>0</v>
      </c>
    </row>
    <row r="41" spans="1:27" ht="15">
      <c r="A41" s="14">
        <v>34</v>
      </c>
      <c r="B41" s="8">
        <v>17</v>
      </c>
      <c r="C41" s="14" t="str">
        <f>VLOOKUP(B41,Startovka!$A$2:$F$92,2,FALSE)</f>
        <v>Koldinský</v>
      </c>
      <c r="D41" s="14" t="str">
        <f>VLOOKUP(B41,Startovka!$A$2:$F$92,3,FALSE)</f>
        <v>Jan</v>
      </c>
      <c r="E41" s="14" t="str">
        <f>VLOOKUP(B41,Startovka!$A$2:$F$92,4,FALSE)</f>
        <v>KČT-MTB Kralupy nad Vltavou</v>
      </c>
      <c r="F41" s="14" t="str">
        <f>VLOOKUP(B41,Startovka!$A$2:$F$92,6,FALSE)</f>
        <v>MA</v>
      </c>
      <c r="G41" s="1"/>
      <c r="H41" s="1"/>
      <c r="I41" s="1" t="s">
        <v>229</v>
      </c>
      <c r="J41" s="1"/>
      <c r="K41" s="1"/>
      <c r="L41" s="1" t="s">
        <v>229</v>
      </c>
      <c r="M41" s="1" t="s">
        <v>229</v>
      </c>
      <c r="N41" s="1" t="s">
        <v>229</v>
      </c>
      <c r="O41" s="1" t="s">
        <v>229</v>
      </c>
      <c r="P41" s="1" t="s">
        <v>229</v>
      </c>
      <c r="Q41" s="1" t="s">
        <v>229</v>
      </c>
      <c r="R41" s="1" t="s">
        <v>229</v>
      </c>
      <c r="S41" s="1" t="s">
        <v>229</v>
      </c>
      <c r="T41" s="1" t="s">
        <v>229</v>
      </c>
      <c r="U41" s="14" t="s">
        <v>229</v>
      </c>
      <c r="V41" s="14">
        <f t="shared" si="3"/>
        <v>0</v>
      </c>
      <c r="W41" s="5">
        <f t="shared" si="4"/>
        <v>290</v>
      </c>
      <c r="X41" s="40">
        <v>0.0602934375</v>
      </c>
      <c r="Y41" s="13">
        <v>6</v>
      </c>
      <c r="AA41" s="7">
        <f t="shared" si="5"/>
        <v>0</v>
      </c>
    </row>
    <row r="42" spans="1:27" ht="15">
      <c r="A42" s="14">
        <v>35</v>
      </c>
      <c r="B42" s="8">
        <v>80</v>
      </c>
      <c r="C42" s="14" t="str">
        <f>VLOOKUP(B42,Startovka!$A$2:$F$92,2,FALSE)</f>
        <v>Ernestová</v>
      </c>
      <c r="D42" s="14" t="str">
        <f>VLOOKUP(B42,Startovka!$A$2:$F$92,3,FALSE)</f>
        <v>Martina</v>
      </c>
      <c r="E42" s="14" t="str">
        <f>VLOOKUP(B42,Startovka!$A$2:$F$92,4,FALSE)</f>
        <v>Řež</v>
      </c>
      <c r="F42" s="14" t="str">
        <f>VLOOKUP(B42,Startovka!$A$2:$F$92,6,FALSE)</f>
        <v>ZA</v>
      </c>
      <c r="G42" s="1"/>
      <c r="H42" s="1"/>
      <c r="I42" s="1"/>
      <c r="J42" s="1" t="s">
        <v>229</v>
      </c>
      <c r="K42" s="1"/>
      <c r="L42" s="1" t="s">
        <v>229</v>
      </c>
      <c r="M42" s="1" t="s">
        <v>229</v>
      </c>
      <c r="N42" s="1" t="s">
        <v>229</v>
      </c>
      <c r="O42" s="1" t="s">
        <v>229</v>
      </c>
      <c r="P42" s="1"/>
      <c r="Q42" s="1" t="s">
        <v>229</v>
      </c>
      <c r="R42" s="1" t="s">
        <v>229</v>
      </c>
      <c r="S42" s="1" t="s">
        <v>229</v>
      </c>
      <c r="T42" s="1" t="s">
        <v>229</v>
      </c>
      <c r="U42" s="14" t="s">
        <v>229</v>
      </c>
      <c r="V42" s="14">
        <f t="shared" si="3"/>
        <v>0</v>
      </c>
      <c r="W42" s="5">
        <f t="shared" si="4"/>
        <v>290</v>
      </c>
      <c r="X42" s="40">
        <v>0.061987673611111134</v>
      </c>
      <c r="Y42" s="13">
        <v>2</v>
      </c>
      <c r="AA42" s="7">
        <f t="shared" si="5"/>
        <v>0</v>
      </c>
    </row>
    <row r="43" spans="1:27" ht="15">
      <c r="A43" s="14">
        <v>36</v>
      </c>
      <c r="B43" s="8">
        <v>69</v>
      </c>
      <c r="C43" s="14" t="str">
        <f>VLOOKUP(B43,Startovka!$A$2:$F$92,2,FALSE)</f>
        <v>Ševčík</v>
      </c>
      <c r="D43" s="14" t="str">
        <f>VLOOKUP(B43,Startovka!$A$2:$F$92,3,FALSE)</f>
        <v>Jakub</v>
      </c>
      <c r="E43" s="14" t="str">
        <f>VLOOKUP(B43,Startovka!$A$2:$F$92,4,FALSE)</f>
        <v>Praha 2</v>
      </c>
      <c r="F43" s="14" t="str">
        <f>VLOOKUP(B43,Startovka!$A$2:$F$92,6,FALSE)</f>
        <v>MA</v>
      </c>
      <c r="G43" s="1"/>
      <c r="H43" s="1"/>
      <c r="I43" s="1"/>
      <c r="J43" s="1" t="s">
        <v>229</v>
      </c>
      <c r="K43" s="1"/>
      <c r="L43" s="1" t="s">
        <v>229</v>
      </c>
      <c r="M43" s="1" t="s">
        <v>229</v>
      </c>
      <c r="N43" s="1" t="s">
        <v>229</v>
      </c>
      <c r="O43" s="1" t="s">
        <v>229</v>
      </c>
      <c r="P43" s="1"/>
      <c r="Q43" s="1" t="s">
        <v>229</v>
      </c>
      <c r="R43" s="1" t="s">
        <v>229</v>
      </c>
      <c r="S43" s="1" t="s">
        <v>229</v>
      </c>
      <c r="T43" s="1" t="s">
        <v>229</v>
      </c>
      <c r="U43" s="14" t="s">
        <v>229</v>
      </c>
      <c r="V43" s="14">
        <f t="shared" si="3"/>
        <v>0</v>
      </c>
      <c r="W43" s="5">
        <f t="shared" si="4"/>
        <v>290</v>
      </c>
      <c r="X43" s="40">
        <v>0.06199488425925923</v>
      </c>
      <c r="Y43" s="13">
        <v>7</v>
      </c>
      <c r="AA43" s="7">
        <f t="shared" si="5"/>
        <v>0</v>
      </c>
    </row>
    <row r="44" spans="1:27" ht="15">
      <c r="A44" s="14">
        <v>37</v>
      </c>
      <c r="B44" s="8">
        <v>59</v>
      </c>
      <c r="C44" s="14" t="str">
        <f>VLOOKUP(B44,Startovka!$A$2:$F$92,2,FALSE)</f>
        <v>Jeníčková</v>
      </c>
      <c r="D44" s="14" t="str">
        <f>VLOOKUP(B44,Startovka!$A$2:$F$92,3,FALSE)</f>
        <v>Radka</v>
      </c>
      <c r="E44" s="14" t="str">
        <f>VLOOKUP(B44,Startovka!$A$2:$F$92,4,FALSE)</f>
        <v>Erpéčko</v>
      </c>
      <c r="F44" s="14" t="str">
        <f>VLOOKUP(B44,Startovka!$A$2:$F$92,6,FALSE)</f>
        <v>Z1</v>
      </c>
      <c r="G44" s="1" t="s">
        <v>229</v>
      </c>
      <c r="H44" s="1" t="s">
        <v>229</v>
      </c>
      <c r="I44" s="1" t="s">
        <v>229</v>
      </c>
      <c r="J44" s="1" t="s">
        <v>229</v>
      </c>
      <c r="K44" s="1" t="s">
        <v>229</v>
      </c>
      <c r="L44" s="1" t="s">
        <v>229</v>
      </c>
      <c r="M44" s="1" t="s">
        <v>229</v>
      </c>
      <c r="N44" s="1" t="s">
        <v>229</v>
      </c>
      <c r="O44" s="1" t="s">
        <v>229</v>
      </c>
      <c r="P44" s="1" t="s">
        <v>229</v>
      </c>
      <c r="Q44" s="1"/>
      <c r="R44" s="1"/>
      <c r="S44" s="1"/>
      <c r="T44" s="1"/>
      <c r="U44" s="14"/>
      <c r="V44" s="14">
        <f t="shared" si="3"/>
        <v>0</v>
      </c>
      <c r="W44" s="5">
        <f t="shared" si="4"/>
        <v>290</v>
      </c>
      <c r="X44" s="40">
        <v>0.06199645833333335</v>
      </c>
      <c r="Y44" s="13">
        <v>8</v>
      </c>
      <c r="AA44" s="7">
        <f t="shared" si="5"/>
        <v>0</v>
      </c>
    </row>
    <row r="45" spans="1:27" ht="15">
      <c r="A45" s="14">
        <v>38</v>
      </c>
      <c r="B45" s="8">
        <v>63</v>
      </c>
      <c r="C45" s="14" t="str">
        <f>VLOOKUP(B45,Startovka!$A$2:$F$92,2,FALSE)</f>
        <v>Trčková</v>
      </c>
      <c r="D45" s="14" t="str">
        <f>VLOOKUP(B45,Startovka!$A$2:$F$92,3,FALSE)</f>
        <v>Tereza</v>
      </c>
      <c r="E45" s="14" t="str">
        <f>VLOOKUP(B45,Startovka!$A$2:$F$92,4,FALSE)</f>
        <v>USK Praha</v>
      </c>
      <c r="F45" s="14" t="str">
        <f>VLOOKUP(B45,Startovka!$A$2:$F$92,6,FALSE)</f>
        <v>Z1</v>
      </c>
      <c r="G45" s="1"/>
      <c r="H45" s="1" t="s">
        <v>229</v>
      </c>
      <c r="I45" s="1"/>
      <c r="J45" s="1" t="s">
        <v>229</v>
      </c>
      <c r="K45" s="1"/>
      <c r="L45" s="1" t="s">
        <v>229</v>
      </c>
      <c r="M45" s="1" t="s">
        <v>229</v>
      </c>
      <c r="N45" s="1" t="s">
        <v>229</v>
      </c>
      <c r="O45" s="1" t="s">
        <v>229</v>
      </c>
      <c r="P45" s="1" t="s">
        <v>229</v>
      </c>
      <c r="Q45" s="1" t="s">
        <v>229</v>
      </c>
      <c r="R45" s="1"/>
      <c r="S45" s="1" t="s">
        <v>229</v>
      </c>
      <c r="T45" s="1"/>
      <c r="U45" s="14" t="s">
        <v>229</v>
      </c>
      <c r="V45" s="14">
        <f t="shared" si="3"/>
        <v>0</v>
      </c>
      <c r="W45" s="5">
        <f t="shared" si="4"/>
        <v>290</v>
      </c>
      <c r="X45" s="40">
        <v>0.062366620370370336</v>
      </c>
      <c r="Y45" s="13">
        <v>9</v>
      </c>
      <c r="AA45" s="7">
        <f t="shared" si="5"/>
        <v>0</v>
      </c>
    </row>
    <row r="46" spans="1:27" ht="15">
      <c r="A46" s="14">
        <v>39</v>
      </c>
      <c r="B46" s="8">
        <v>85</v>
      </c>
      <c r="C46" s="14" t="str">
        <f>VLOOKUP(B46,Startovka!$A$2:$F$92,2,FALSE)</f>
        <v>Holub</v>
      </c>
      <c r="D46" s="14" t="str">
        <f>VLOOKUP(B46,Startovka!$A$2:$F$92,3,FALSE)</f>
        <v>Libor</v>
      </c>
      <c r="E46" s="14" t="str">
        <f>VLOOKUP(B46,Startovka!$A$2:$F$92,4,FALSE)</f>
        <v>Triatlon team Měchenice</v>
      </c>
      <c r="F46" s="14" t="str">
        <f>VLOOKUP(B46,Startovka!$A$2:$F$92,6,FALSE)</f>
        <v>M2</v>
      </c>
      <c r="G46" s="1"/>
      <c r="H46" s="1" t="s">
        <v>229</v>
      </c>
      <c r="I46" s="1"/>
      <c r="J46" s="1"/>
      <c r="K46" s="1"/>
      <c r="L46" s="1" t="s">
        <v>229</v>
      </c>
      <c r="M46" s="1" t="s">
        <v>229</v>
      </c>
      <c r="N46" s="1" t="s">
        <v>229</v>
      </c>
      <c r="O46" s="1" t="s">
        <v>229</v>
      </c>
      <c r="P46" s="1" t="s">
        <v>229</v>
      </c>
      <c r="Q46" s="1" t="s">
        <v>229</v>
      </c>
      <c r="R46" s="1" t="s">
        <v>229</v>
      </c>
      <c r="S46" s="1" t="s">
        <v>229</v>
      </c>
      <c r="T46" s="1" t="s">
        <v>229</v>
      </c>
      <c r="U46" s="14" t="s">
        <v>229</v>
      </c>
      <c r="V46" s="14">
        <f t="shared" si="3"/>
        <v>30</v>
      </c>
      <c r="W46" s="5">
        <f t="shared" si="4"/>
        <v>290</v>
      </c>
      <c r="X46" s="40">
        <v>0.064105625</v>
      </c>
      <c r="Y46" s="13">
        <v>3</v>
      </c>
      <c r="AA46" s="7">
        <f t="shared" si="5"/>
        <v>3</v>
      </c>
    </row>
    <row r="47" spans="1:27" ht="15">
      <c r="A47" s="14">
        <v>40</v>
      </c>
      <c r="B47" s="8">
        <v>31</v>
      </c>
      <c r="C47" s="14" t="str">
        <f>VLOOKUP(B47,Startovka!$A$2:$F$92,2,FALSE)</f>
        <v>Pokorný</v>
      </c>
      <c r="D47" s="14" t="str">
        <f>VLOOKUP(B47,Startovka!$A$2:$F$92,3,FALSE)</f>
        <v>Martin</v>
      </c>
      <c r="E47" s="14" t="str">
        <f>VLOOKUP(B47,Startovka!$A$2:$F$92,4,FALSE)</f>
        <v>Martin Pokorný</v>
      </c>
      <c r="F47" s="14" t="str">
        <f>VLOOKUP(B47,Startovka!$A$2:$F$92,6,FALSE)</f>
        <v>MA</v>
      </c>
      <c r="G47" s="1" t="s">
        <v>229</v>
      </c>
      <c r="H47" s="1" t="s">
        <v>229</v>
      </c>
      <c r="I47" s="1" t="s">
        <v>229</v>
      </c>
      <c r="J47" s="1" t="s">
        <v>229</v>
      </c>
      <c r="K47" s="1"/>
      <c r="L47" s="1" t="s">
        <v>229</v>
      </c>
      <c r="M47" s="1" t="s">
        <v>229</v>
      </c>
      <c r="N47" s="1" t="s">
        <v>229</v>
      </c>
      <c r="O47" s="1" t="s">
        <v>229</v>
      </c>
      <c r="P47" s="1" t="s">
        <v>229</v>
      </c>
      <c r="Q47" s="1" t="s">
        <v>229</v>
      </c>
      <c r="R47" s="1"/>
      <c r="S47" s="1"/>
      <c r="T47" s="1"/>
      <c r="U47" s="14"/>
      <c r="V47" s="14">
        <f t="shared" si="3"/>
        <v>0</v>
      </c>
      <c r="W47" s="5">
        <f t="shared" si="4"/>
        <v>280</v>
      </c>
      <c r="X47" s="40">
        <v>0.058698032407407376</v>
      </c>
      <c r="Y47" s="13">
        <v>8</v>
      </c>
      <c r="AA47" s="7">
        <f t="shared" si="5"/>
        <v>0</v>
      </c>
    </row>
    <row r="48" spans="1:27" ht="15">
      <c r="A48" s="14">
        <v>41</v>
      </c>
      <c r="B48" s="8">
        <v>44</v>
      </c>
      <c r="C48" s="14" t="str">
        <f>VLOOKUP(B48,Startovka!$A$2:$F$92,2,FALSE)</f>
        <v>Brabač</v>
      </c>
      <c r="D48" s="14" t="str">
        <f>VLOOKUP(B48,Startovka!$A$2:$F$92,3,FALSE)</f>
        <v>Lukáš</v>
      </c>
      <c r="E48" s="14">
        <f>VLOOKUP(B48,Startovka!$A$2:$F$92,4,FALSE)</f>
        <v>0</v>
      </c>
      <c r="F48" s="14" t="str">
        <f>VLOOKUP(B48,Startovka!$A$2:$F$92,6,FALSE)</f>
        <v>M1</v>
      </c>
      <c r="G48" s="1" t="s">
        <v>229</v>
      </c>
      <c r="H48" s="1" t="s">
        <v>229</v>
      </c>
      <c r="I48" s="1" t="s">
        <v>229</v>
      </c>
      <c r="J48" s="1" t="s">
        <v>229</v>
      </c>
      <c r="K48" s="1"/>
      <c r="L48" s="1" t="s">
        <v>229</v>
      </c>
      <c r="M48" s="1"/>
      <c r="N48" s="1" t="s">
        <v>229</v>
      </c>
      <c r="O48" s="1" t="s">
        <v>229</v>
      </c>
      <c r="P48" s="1"/>
      <c r="Q48" s="1" t="s">
        <v>229</v>
      </c>
      <c r="R48" s="1"/>
      <c r="S48" s="1"/>
      <c r="T48" s="1"/>
      <c r="U48" s="14" t="s">
        <v>229</v>
      </c>
      <c r="V48" s="14">
        <f t="shared" si="3"/>
        <v>0</v>
      </c>
      <c r="W48" s="5">
        <f t="shared" si="4"/>
        <v>280</v>
      </c>
      <c r="X48" s="40">
        <v>0.058884166666666654</v>
      </c>
      <c r="Y48" s="13">
        <v>17</v>
      </c>
      <c r="AA48" s="7">
        <f t="shared" si="5"/>
        <v>0</v>
      </c>
    </row>
    <row r="49" spans="1:27" ht="15">
      <c r="A49" s="14">
        <v>42</v>
      </c>
      <c r="B49" s="8">
        <v>1</v>
      </c>
      <c r="C49" s="14" t="str">
        <f>VLOOKUP(B49,Startovka!$A$2:$F$92,2,FALSE)</f>
        <v>Gál</v>
      </c>
      <c r="D49" s="14" t="str">
        <f>VLOOKUP(B49,Startovka!$A$2:$F$92,3,FALSE)</f>
        <v>Lukáš</v>
      </c>
      <c r="E49" s="14" t="str">
        <f>VLOOKUP(B49,Startovka!$A$2:$F$92,4,FALSE)</f>
        <v>Praha 8</v>
      </c>
      <c r="F49" s="14" t="str">
        <f>VLOOKUP(B49,Startovka!$A$2:$F$92,6,FALSE)</f>
        <v>M1</v>
      </c>
      <c r="G49" s="1"/>
      <c r="H49" s="1"/>
      <c r="I49" s="1"/>
      <c r="J49" s="1"/>
      <c r="K49" s="1"/>
      <c r="L49" s="1" t="s">
        <v>229</v>
      </c>
      <c r="M49" s="1" t="s">
        <v>229</v>
      </c>
      <c r="N49" s="1" t="s">
        <v>229</v>
      </c>
      <c r="O49" s="1" t="s">
        <v>229</v>
      </c>
      <c r="P49" s="1" t="s">
        <v>229</v>
      </c>
      <c r="Q49" s="1" t="s">
        <v>229</v>
      </c>
      <c r="R49" s="1" t="s">
        <v>229</v>
      </c>
      <c r="S49" s="1" t="s">
        <v>229</v>
      </c>
      <c r="T49" s="1" t="s">
        <v>229</v>
      </c>
      <c r="U49" s="14" t="s">
        <v>229</v>
      </c>
      <c r="V49" s="14">
        <f t="shared" si="3"/>
        <v>0</v>
      </c>
      <c r="W49" s="5">
        <f t="shared" si="4"/>
        <v>280</v>
      </c>
      <c r="X49" s="40">
        <v>0.0594408680555556</v>
      </c>
      <c r="Y49" s="13">
        <v>18</v>
      </c>
      <c r="AA49" s="7">
        <f t="shared" si="5"/>
        <v>0</v>
      </c>
    </row>
    <row r="50" spans="1:27" ht="15">
      <c r="A50" s="14">
        <v>43</v>
      </c>
      <c r="B50" s="8">
        <v>3</v>
      </c>
      <c r="C50" s="14" t="str">
        <f>VLOOKUP(B50,Startovka!$A$2:$F$92,2,FALSE)</f>
        <v>Dusík</v>
      </c>
      <c r="D50" s="14" t="str">
        <f>VLOOKUP(B50,Startovka!$A$2:$F$92,3,FALSE)</f>
        <v>Milan</v>
      </c>
      <c r="E50" s="14" t="str">
        <f>VLOOKUP(B50,Startovka!$A$2:$F$92,4,FALSE)</f>
        <v>Jahodnice</v>
      </c>
      <c r="F50" s="14" t="str">
        <f>VLOOKUP(B50,Startovka!$A$2:$F$92,6,FALSE)</f>
        <v>M0</v>
      </c>
      <c r="G50" s="1"/>
      <c r="H50" s="1" t="s">
        <v>229</v>
      </c>
      <c r="I50" s="1" t="s">
        <v>229</v>
      </c>
      <c r="J50" s="1" t="s">
        <v>229</v>
      </c>
      <c r="K50" s="1"/>
      <c r="L50" s="1" t="s">
        <v>229</v>
      </c>
      <c r="M50" s="1" t="s">
        <v>229</v>
      </c>
      <c r="N50" s="1" t="s">
        <v>229</v>
      </c>
      <c r="O50" s="1" t="s">
        <v>229</v>
      </c>
      <c r="P50" s="1" t="s">
        <v>229</v>
      </c>
      <c r="Q50" s="1" t="s">
        <v>229</v>
      </c>
      <c r="R50" s="1"/>
      <c r="S50" s="1"/>
      <c r="T50" s="1"/>
      <c r="U50" s="14" t="s">
        <v>229</v>
      </c>
      <c r="V50" s="14">
        <f t="shared" si="3"/>
        <v>0</v>
      </c>
      <c r="W50" s="5">
        <f t="shared" si="4"/>
        <v>280</v>
      </c>
      <c r="X50" s="40">
        <v>0.0611575810185185</v>
      </c>
      <c r="Y50" s="13">
        <v>1</v>
      </c>
      <c r="AA50" s="7">
        <f t="shared" si="5"/>
        <v>0</v>
      </c>
    </row>
    <row r="51" spans="1:27" ht="15">
      <c r="A51" s="14">
        <v>44</v>
      </c>
      <c r="B51" s="8">
        <v>61</v>
      </c>
      <c r="C51" s="14" t="str">
        <f>VLOOKUP(B51,Startovka!$A$2:$F$92,2,FALSE)</f>
        <v>Vojtisek</v>
      </c>
      <c r="D51" s="14" t="str">
        <f>VLOOKUP(B51,Startovka!$A$2:$F$92,3,FALSE)</f>
        <v>Antonín</v>
      </c>
      <c r="E51" s="14" t="str">
        <f>VLOOKUP(B51,Startovka!$A$2:$F$92,4,FALSE)</f>
        <v>no swiss</v>
      </c>
      <c r="F51" s="14" t="str">
        <f>VLOOKUP(B51,Startovka!$A$2:$F$92,6,FALSE)</f>
        <v>M1</v>
      </c>
      <c r="G51" s="1" t="s">
        <v>229</v>
      </c>
      <c r="H51" s="1" t="s">
        <v>229</v>
      </c>
      <c r="I51" s="1" t="s">
        <v>229</v>
      </c>
      <c r="J51" s="1" t="s">
        <v>229</v>
      </c>
      <c r="K51" s="1" t="s">
        <v>229</v>
      </c>
      <c r="L51" s="1" t="s">
        <v>229</v>
      </c>
      <c r="M51" s="1" t="s">
        <v>229</v>
      </c>
      <c r="N51" s="1" t="s">
        <v>229</v>
      </c>
      <c r="O51" s="1" t="s">
        <v>229</v>
      </c>
      <c r="P51" s="1" t="s">
        <v>229</v>
      </c>
      <c r="Q51" s="1"/>
      <c r="R51" s="1"/>
      <c r="S51" s="1"/>
      <c r="T51" s="1"/>
      <c r="U51" s="14"/>
      <c r="V51" s="14">
        <f t="shared" si="3"/>
        <v>10</v>
      </c>
      <c r="W51" s="5">
        <f t="shared" si="4"/>
        <v>280</v>
      </c>
      <c r="X51" s="40">
        <v>0.06254717592592593</v>
      </c>
      <c r="Y51" s="13">
        <v>19</v>
      </c>
      <c r="AA51" s="7">
        <f t="shared" si="5"/>
        <v>1</v>
      </c>
    </row>
    <row r="52" spans="1:27" ht="15">
      <c r="A52" s="14">
        <v>45</v>
      </c>
      <c r="B52" s="8">
        <v>77</v>
      </c>
      <c r="C52" s="14" t="str">
        <f>VLOOKUP(B52,Startovka!$A$2:$F$92,2,FALSE)</f>
        <v>Pecháčková</v>
      </c>
      <c r="D52" s="14" t="str">
        <f>VLOOKUP(B52,Startovka!$A$2:$F$92,3,FALSE)</f>
        <v>Martina</v>
      </c>
      <c r="E52" s="14" t="str">
        <f>VLOOKUP(B52,Startovka!$A$2:$F$92,4,FALSE)</f>
        <v>Dým Tým</v>
      </c>
      <c r="F52" s="14" t="str">
        <f>VLOOKUP(B52,Startovka!$A$2:$F$92,6,FALSE)</f>
        <v>ZA</v>
      </c>
      <c r="G52" s="1" t="s">
        <v>229</v>
      </c>
      <c r="H52" s="1" t="s">
        <v>229</v>
      </c>
      <c r="I52" s="1" t="s">
        <v>229</v>
      </c>
      <c r="J52" s="1" t="s">
        <v>229</v>
      </c>
      <c r="K52" s="1"/>
      <c r="L52" s="1"/>
      <c r="M52" s="1" t="s">
        <v>229</v>
      </c>
      <c r="N52" s="1" t="s">
        <v>229</v>
      </c>
      <c r="O52" s="1" t="s">
        <v>229</v>
      </c>
      <c r="P52" s="1" t="s">
        <v>229</v>
      </c>
      <c r="Q52" s="1" t="s">
        <v>229</v>
      </c>
      <c r="R52" s="1"/>
      <c r="S52" s="1" t="s">
        <v>229</v>
      </c>
      <c r="T52" s="1"/>
      <c r="U52" s="14" t="s">
        <v>229</v>
      </c>
      <c r="V52" s="14">
        <f t="shared" si="3"/>
        <v>10</v>
      </c>
      <c r="W52" s="5">
        <f t="shared" si="4"/>
        <v>280</v>
      </c>
      <c r="X52" s="40">
        <v>0.06259807870370374</v>
      </c>
      <c r="Y52" s="13">
        <v>3</v>
      </c>
      <c r="AA52" s="7">
        <f t="shared" si="5"/>
        <v>1</v>
      </c>
    </row>
    <row r="53" spans="1:27" ht="15">
      <c r="A53" s="14">
        <v>46</v>
      </c>
      <c r="B53" s="8">
        <v>2</v>
      </c>
      <c r="C53" s="14" t="str">
        <f>VLOOKUP(B53,Startovka!$A$2:$F$92,2,FALSE)</f>
        <v>Tomáš</v>
      </c>
      <c r="D53" s="14" t="str">
        <f>VLOOKUP(B53,Startovka!$A$2:$F$92,3,FALSE)</f>
        <v>Raja</v>
      </c>
      <c r="E53" s="14">
        <f>VLOOKUP(B53,Startovka!$A$2:$F$92,4,FALSE)</f>
        <v>0</v>
      </c>
      <c r="F53" s="14" t="str">
        <f>VLOOKUP(B53,Startovka!$A$2:$F$92,6,FALSE)</f>
        <v>M2</v>
      </c>
      <c r="G53" s="1"/>
      <c r="H53" s="1"/>
      <c r="I53" s="1" t="s">
        <v>229</v>
      </c>
      <c r="J53" s="1" t="s">
        <v>229</v>
      </c>
      <c r="K53" s="1" t="s">
        <v>229</v>
      </c>
      <c r="L53" s="1"/>
      <c r="M53" s="1" t="s">
        <v>229</v>
      </c>
      <c r="N53" s="1" t="s">
        <v>229</v>
      </c>
      <c r="O53" s="1"/>
      <c r="P53" s="1" t="s">
        <v>229</v>
      </c>
      <c r="Q53" s="1" t="s">
        <v>229</v>
      </c>
      <c r="R53" s="1"/>
      <c r="S53" s="1" t="s">
        <v>229</v>
      </c>
      <c r="T53" s="1" t="s">
        <v>229</v>
      </c>
      <c r="U53" s="14" t="s">
        <v>229</v>
      </c>
      <c r="V53" s="14">
        <f t="shared" si="3"/>
        <v>0</v>
      </c>
      <c r="W53" s="5">
        <f t="shared" si="4"/>
        <v>270</v>
      </c>
      <c r="X53" s="40">
        <v>0.0611872106481481</v>
      </c>
      <c r="Y53" s="13">
        <v>4</v>
      </c>
      <c r="AA53" s="7">
        <f t="shared" si="5"/>
        <v>0</v>
      </c>
    </row>
    <row r="54" spans="1:27" ht="15">
      <c r="A54" s="14">
        <v>47</v>
      </c>
      <c r="B54" s="8">
        <v>56</v>
      </c>
      <c r="C54" s="14" t="str">
        <f>VLOOKUP(B54,Startovka!$A$2:$F$92,2,FALSE)</f>
        <v>Čermák</v>
      </c>
      <c r="D54" s="14" t="str">
        <f>VLOOKUP(B54,Startovka!$A$2:$F$92,3,FALSE)</f>
        <v>Jakub</v>
      </c>
      <c r="E54" s="14" t="str">
        <f>VLOOKUP(B54,Startovka!$A$2:$F$92,4,FALSE)</f>
        <v>Tri-Ski Horní Počernice</v>
      </c>
      <c r="F54" s="14" t="str">
        <f>VLOOKUP(B54,Startovka!$A$2:$F$92,6,FALSE)</f>
        <v>M1</v>
      </c>
      <c r="G54" s="1"/>
      <c r="H54" s="1"/>
      <c r="I54" s="1"/>
      <c r="J54" s="1" t="s">
        <v>229</v>
      </c>
      <c r="K54" s="1"/>
      <c r="L54" s="1" t="s">
        <v>229</v>
      </c>
      <c r="M54" s="1" t="s">
        <v>229</v>
      </c>
      <c r="N54" s="1" t="s">
        <v>229</v>
      </c>
      <c r="O54" s="1" t="s">
        <v>229</v>
      </c>
      <c r="P54" s="1" t="s">
        <v>229</v>
      </c>
      <c r="Q54" s="1" t="s">
        <v>229</v>
      </c>
      <c r="R54" s="1" t="s">
        <v>229</v>
      </c>
      <c r="S54" s="1" t="s">
        <v>229</v>
      </c>
      <c r="T54" s="1" t="s">
        <v>229</v>
      </c>
      <c r="U54" s="14" t="s">
        <v>229</v>
      </c>
      <c r="V54" s="14">
        <f t="shared" si="3"/>
        <v>30</v>
      </c>
      <c r="W54" s="5">
        <f t="shared" si="4"/>
        <v>270</v>
      </c>
      <c r="X54" s="40">
        <v>0.06390746527777776</v>
      </c>
      <c r="Y54" s="13">
        <v>20</v>
      </c>
      <c r="AA54" s="7">
        <f t="shared" si="5"/>
        <v>3</v>
      </c>
    </row>
    <row r="55" spans="1:27" ht="15">
      <c r="A55" s="14">
        <v>48</v>
      </c>
      <c r="B55" s="8">
        <v>15</v>
      </c>
      <c r="C55" s="14" t="str">
        <f>VLOOKUP(B55,Startovka!$A$2:$F$92,2,FALSE)</f>
        <v>Siegl</v>
      </c>
      <c r="D55" s="14" t="str">
        <f>VLOOKUP(B55,Startovka!$A$2:$F$92,3,FALSE)</f>
        <v>Jiří</v>
      </c>
      <c r="E55" s="14" t="str">
        <f>VLOOKUP(B55,Startovka!$A$2:$F$92,4,FALSE)</f>
        <v>ŠSK Újezd</v>
      </c>
      <c r="F55" s="14" t="str">
        <f>VLOOKUP(B55,Startovka!$A$2:$F$92,6,FALSE)</f>
        <v>M2</v>
      </c>
      <c r="G55" s="1"/>
      <c r="H55" s="1" t="s">
        <v>229</v>
      </c>
      <c r="I55" s="1" t="s">
        <v>229</v>
      </c>
      <c r="J55" s="1"/>
      <c r="K55" s="1"/>
      <c r="L55" s="1" t="s">
        <v>229</v>
      </c>
      <c r="M55" s="1"/>
      <c r="N55" s="1" t="s">
        <v>229</v>
      </c>
      <c r="O55" s="1" t="s">
        <v>229</v>
      </c>
      <c r="P55" s="1" t="s">
        <v>229</v>
      </c>
      <c r="Q55" s="1" t="s">
        <v>229</v>
      </c>
      <c r="R55" s="1" t="s">
        <v>229</v>
      </c>
      <c r="S55" s="1" t="s">
        <v>229</v>
      </c>
      <c r="T55" s="1" t="s">
        <v>229</v>
      </c>
      <c r="U55" s="14" t="s">
        <v>229</v>
      </c>
      <c r="V55" s="14">
        <f t="shared" si="3"/>
        <v>40</v>
      </c>
      <c r="W55" s="5">
        <f t="shared" si="4"/>
        <v>270</v>
      </c>
      <c r="X55" s="40">
        <v>0.0649774537037037</v>
      </c>
      <c r="Y55" s="13">
        <v>5</v>
      </c>
      <c r="AA55" s="7">
        <f t="shared" si="5"/>
        <v>4</v>
      </c>
    </row>
    <row r="56" spans="1:27" ht="15">
      <c r="A56" s="14">
        <v>49</v>
      </c>
      <c r="B56" s="8">
        <v>57</v>
      </c>
      <c r="C56" s="14" t="str">
        <f>VLOOKUP(B56,Startovka!$A$2:$F$92,2,FALSE)</f>
        <v>Čermák</v>
      </c>
      <c r="D56" s="14" t="str">
        <f>VLOOKUP(B56,Startovka!$A$2:$F$92,3,FALSE)</f>
        <v>Jakub</v>
      </c>
      <c r="E56" s="14" t="str">
        <f>VLOOKUP(B56,Startovka!$A$2:$F$92,4,FALSE)</f>
        <v>TRI-SKI Horní Počernice</v>
      </c>
      <c r="F56" s="14" t="str">
        <f>VLOOKUP(B56,Startovka!$A$2:$F$92,6,FALSE)</f>
        <v>M2</v>
      </c>
      <c r="G56" s="1" t="s">
        <v>229</v>
      </c>
      <c r="H56" s="1"/>
      <c r="I56" s="1" t="s">
        <v>229</v>
      </c>
      <c r="J56" s="1" t="s">
        <v>229</v>
      </c>
      <c r="K56" s="1"/>
      <c r="L56" s="1" t="s">
        <v>229</v>
      </c>
      <c r="M56" s="1" t="s">
        <v>229</v>
      </c>
      <c r="N56" s="1" t="s">
        <v>229</v>
      </c>
      <c r="O56" s="1" t="s">
        <v>229</v>
      </c>
      <c r="P56" s="1" t="s">
        <v>229</v>
      </c>
      <c r="Q56" s="1" t="s">
        <v>229</v>
      </c>
      <c r="R56" s="1" t="s">
        <v>229</v>
      </c>
      <c r="S56" s="1" t="s">
        <v>229</v>
      </c>
      <c r="T56" s="1" t="s">
        <v>229</v>
      </c>
      <c r="U56" s="14" t="s">
        <v>229</v>
      </c>
      <c r="V56" s="14">
        <f t="shared" si="3"/>
        <v>70</v>
      </c>
      <c r="W56" s="5">
        <f t="shared" si="4"/>
        <v>270</v>
      </c>
      <c r="X56" s="40">
        <v>0.06719771990740746</v>
      </c>
      <c r="Y56" s="13">
        <v>6</v>
      </c>
      <c r="AA56" s="7">
        <f t="shared" si="5"/>
        <v>7</v>
      </c>
    </row>
    <row r="57" spans="1:27" ht="15">
      <c r="A57" s="14">
        <v>50</v>
      </c>
      <c r="B57" s="8">
        <v>53</v>
      </c>
      <c r="C57" s="14" t="str">
        <f>VLOOKUP(B57,Startovka!$A$2:$F$92,2,FALSE)</f>
        <v>Dvořák</v>
      </c>
      <c r="D57" s="14" t="str">
        <f>VLOOKUP(B57,Startovka!$A$2:$F$92,3,FALSE)</f>
        <v>Josef</v>
      </c>
      <c r="E57" s="14" t="str">
        <f>VLOOKUP(B57,Startovka!$A$2:$F$92,4,FALSE)</f>
        <v>FSC Libuš</v>
      </c>
      <c r="F57" s="14" t="str">
        <f>VLOOKUP(B57,Startovka!$A$2:$F$92,6,FALSE)</f>
        <v>MA</v>
      </c>
      <c r="G57" s="1"/>
      <c r="H57" s="1" t="s">
        <v>229</v>
      </c>
      <c r="I57" s="1" t="s">
        <v>229</v>
      </c>
      <c r="J57" s="1" t="s">
        <v>229</v>
      </c>
      <c r="K57" s="1" t="s">
        <v>229</v>
      </c>
      <c r="L57" s="1" t="s">
        <v>229</v>
      </c>
      <c r="M57" s="1" t="s">
        <v>229</v>
      </c>
      <c r="N57" s="1" t="s">
        <v>229</v>
      </c>
      <c r="O57" s="1" t="s">
        <v>229</v>
      </c>
      <c r="P57" s="1" t="s">
        <v>229</v>
      </c>
      <c r="Q57" s="1"/>
      <c r="R57" s="1"/>
      <c r="S57" s="1"/>
      <c r="T57" s="1"/>
      <c r="U57" s="14"/>
      <c r="V57" s="14">
        <f t="shared" si="3"/>
        <v>0</v>
      </c>
      <c r="W57" s="5">
        <f t="shared" si="4"/>
        <v>260</v>
      </c>
      <c r="X57" s="40">
        <v>0.05747459490740746</v>
      </c>
      <c r="Y57" s="13">
        <v>9</v>
      </c>
      <c r="AA57" s="7">
        <f t="shared" si="5"/>
        <v>0</v>
      </c>
    </row>
    <row r="58" spans="1:27" ht="15">
      <c r="A58" s="14">
        <v>100</v>
      </c>
      <c r="B58" s="8">
        <v>49</v>
      </c>
      <c r="C58" s="14" t="str">
        <f>VLOOKUP(B58,Startovka!$A$2:$F$92,2,FALSE)</f>
        <v>Novotný</v>
      </c>
      <c r="D58" s="14" t="str">
        <f>VLOOKUP(B58,Startovka!$A$2:$F$92,3,FALSE)</f>
        <v>Stanislav</v>
      </c>
      <c r="E58" s="14" t="str">
        <f>VLOOKUP(B58,Startovka!$A$2:$F$92,4,FALSE)</f>
        <v>Deley-Silvini</v>
      </c>
      <c r="F58" s="14" t="str">
        <f>VLOOKUP(B58,Startovka!$A$2:$F$92,6,FALSE)</f>
        <v>M1</v>
      </c>
      <c r="G58" s="1"/>
      <c r="H58" s="1" t="s">
        <v>229</v>
      </c>
      <c r="I58" s="1" t="s">
        <v>229</v>
      </c>
      <c r="J58" s="1" t="s">
        <v>229</v>
      </c>
      <c r="K58" s="1"/>
      <c r="L58" s="1" t="s">
        <v>229</v>
      </c>
      <c r="M58" s="1" t="s">
        <v>229</v>
      </c>
      <c r="N58" s="1" t="s">
        <v>229</v>
      </c>
      <c r="O58" s="1" t="s">
        <v>229</v>
      </c>
      <c r="P58" s="1" t="s">
        <v>229</v>
      </c>
      <c r="Q58" s="1" t="s">
        <v>229</v>
      </c>
      <c r="R58" s="1"/>
      <c r="S58" s="1"/>
      <c r="T58" s="1"/>
      <c r="U58" s="14"/>
      <c r="V58" s="14">
        <v>0</v>
      </c>
      <c r="W58" s="5">
        <f t="shared" si="4"/>
        <v>250</v>
      </c>
      <c r="X58" s="40" t="s">
        <v>230</v>
      </c>
      <c r="Y58" s="13" t="s">
        <v>230</v>
      </c>
      <c r="AA58" s="7" t="s">
        <v>232</v>
      </c>
    </row>
    <row r="59" spans="1:27" ht="15">
      <c r="A59" s="14">
        <v>51</v>
      </c>
      <c r="B59" s="8">
        <v>96</v>
      </c>
      <c r="C59" s="14" t="str">
        <f>VLOOKUP(B59,Startovka!$A$2:$F$104,2,FALSE)</f>
        <v>Fojtů</v>
      </c>
      <c r="D59" s="14" t="str">
        <f>VLOOKUP(B59,Startovka!$A$2:$F$104,3,FALSE)</f>
        <v>Petr</v>
      </c>
      <c r="E59" s="14" t="str">
        <f>VLOOKUP(B59,Startovka!$A$2:$F$104,4,FALSE)</f>
        <v>RCMT Bike</v>
      </c>
      <c r="F59" s="14" t="str">
        <f>VLOOKUP(B59,Startovka!$A$2:$F$104,6,FALSE)</f>
        <v>M1</v>
      </c>
      <c r="G59" s="1" t="s">
        <v>229</v>
      </c>
      <c r="H59" s="1" t="s">
        <v>229</v>
      </c>
      <c r="I59" s="1" t="s">
        <v>229</v>
      </c>
      <c r="J59" s="1" t="s">
        <v>229</v>
      </c>
      <c r="K59" s="1"/>
      <c r="L59" s="1" t="s">
        <v>229</v>
      </c>
      <c r="M59" s="1" t="s">
        <v>229</v>
      </c>
      <c r="N59" s="1" t="s">
        <v>229</v>
      </c>
      <c r="O59" s="1" t="s">
        <v>229</v>
      </c>
      <c r="P59" s="1" t="s">
        <v>229</v>
      </c>
      <c r="Q59" s="1"/>
      <c r="R59" s="1"/>
      <c r="S59" s="1"/>
      <c r="T59" s="1"/>
      <c r="U59" s="14"/>
      <c r="V59" s="14">
        <f aca="true" t="shared" si="6" ref="V59:V90">IF(X59&lt;=$Z$5,0,10*AA59)</f>
        <v>0</v>
      </c>
      <c r="W59" s="5">
        <f t="shared" si="4"/>
        <v>240</v>
      </c>
      <c r="X59" s="40">
        <v>0.05949689814814812</v>
      </c>
      <c r="Y59" s="13">
        <v>21</v>
      </c>
      <c r="AA59" s="7">
        <f aca="true" t="shared" si="7" ref="AA59:AA90">IF(X59&lt;=$Z$5,0,MINUTE(X59-$Z$5))</f>
        <v>0</v>
      </c>
    </row>
    <row r="60" spans="1:27" ht="15">
      <c r="A60" s="14">
        <v>52</v>
      </c>
      <c r="B60" s="8">
        <v>20</v>
      </c>
      <c r="C60" s="14" t="str">
        <f>VLOOKUP(B60,Startovka!$A$2:$F$92,2,FALSE)</f>
        <v>Karbulková</v>
      </c>
      <c r="D60" s="14" t="str">
        <f>VLOOKUP(B60,Startovka!$A$2:$F$92,3,FALSE)</f>
        <v>Alice</v>
      </c>
      <c r="E60" s="14" t="str">
        <f>VLOOKUP(B60,Startovka!$A$2:$F$92,4,FALSE)</f>
        <v>Muddysport</v>
      </c>
      <c r="F60" s="14" t="str">
        <f>VLOOKUP(B60,Startovka!$A$2:$F$92,6,FALSE)</f>
        <v>Z1</v>
      </c>
      <c r="G60" s="1" t="s">
        <v>229</v>
      </c>
      <c r="H60" s="1" t="s">
        <v>229</v>
      </c>
      <c r="I60" s="1" t="s">
        <v>229</v>
      </c>
      <c r="J60" s="1" t="s">
        <v>229</v>
      </c>
      <c r="K60" s="1"/>
      <c r="L60" s="1" t="s">
        <v>229</v>
      </c>
      <c r="M60" s="1"/>
      <c r="N60" s="1" t="s">
        <v>229</v>
      </c>
      <c r="O60" s="1" t="s">
        <v>229</v>
      </c>
      <c r="P60" s="1"/>
      <c r="Q60" s="1"/>
      <c r="R60" s="1"/>
      <c r="S60" s="1"/>
      <c r="T60" s="1"/>
      <c r="U60" s="14" t="s">
        <v>229</v>
      </c>
      <c r="V60" s="14">
        <f t="shared" si="6"/>
        <v>0</v>
      </c>
      <c r="W60" s="5">
        <f t="shared" si="4"/>
        <v>240</v>
      </c>
      <c r="X60" s="40">
        <v>0.0596075115740741</v>
      </c>
      <c r="Y60" s="13">
        <v>10</v>
      </c>
      <c r="AA60" s="7">
        <f t="shared" si="7"/>
        <v>0</v>
      </c>
    </row>
    <row r="61" spans="1:27" ht="15">
      <c r="A61" s="14">
        <v>53</v>
      </c>
      <c r="B61" s="8">
        <v>19</v>
      </c>
      <c r="C61" s="14" t="str">
        <f>VLOOKUP(B61,Startovka!$A$2:$F$92,2,FALSE)</f>
        <v>Karbulka</v>
      </c>
      <c r="D61" s="14" t="str">
        <f>VLOOKUP(B61,Startovka!$A$2:$F$92,3,FALSE)</f>
        <v>Pavel</v>
      </c>
      <c r="E61" s="14" t="str">
        <f>VLOOKUP(B61,Startovka!$A$2:$F$92,4,FALSE)</f>
        <v>Muddysport</v>
      </c>
      <c r="F61" s="14" t="str">
        <f>VLOOKUP(B61,Startovka!$A$2:$F$92,6,FALSE)</f>
        <v>M1</v>
      </c>
      <c r="G61" s="1" t="s">
        <v>229</v>
      </c>
      <c r="H61" s="1" t="s">
        <v>229</v>
      </c>
      <c r="I61" s="1" t="s">
        <v>229</v>
      </c>
      <c r="J61" s="1" t="s">
        <v>229</v>
      </c>
      <c r="K61" s="1"/>
      <c r="L61" s="1" t="s">
        <v>229</v>
      </c>
      <c r="M61" s="1"/>
      <c r="N61" s="1" t="s">
        <v>229</v>
      </c>
      <c r="O61" s="1" t="s">
        <v>229</v>
      </c>
      <c r="P61" s="1"/>
      <c r="Q61" s="1"/>
      <c r="R61" s="1"/>
      <c r="S61" s="1"/>
      <c r="T61" s="1"/>
      <c r="U61" s="14" t="s">
        <v>229</v>
      </c>
      <c r="V61" s="14">
        <f t="shared" si="6"/>
        <v>0</v>
      </c>
      <c r="W61" s="5">
        <f t="shared" si="4"/>
        <v>240</v>
      </c>
      <c r="X61" s="40">
        <v>0.0596176736111111</v>
      </c>
      <c r="Y61" s="13">
        <v>22</v>
      </c>
      <c r="AA61" s="7">
        <f t="shared" si="7"/>
        <v>0</v>
      </c>
    </row>
    <row r="62" spans="1:27" ht="15">
      <c r="A62" s="14">
        <v>54</v>
      </c>
      <c r="B62" s="8">
        <v>72</v>
      </c>
      <c r="C62" s="14" t="str">
        <f>VLOOKUP(B62,Startovka!$A$2:$F$92,2,FALSE)</f>
        <v>Wagner</v>
      </c>
      <c r="D62" s="14" t="str">
        <f>VLOOKUP(B62,Startovka!$A$2:$F$92,3,FALSE)</f>
        <v>Martin</v>
      </c>
      <c r="E62" s="14">
        <f>VLOOKUP(B62,Startovka!$A$2:$F$92,4,FALSE)</f>
        <v>0</v>
      </c>
      <c r="F62" s="14" t="str">
        <f>VLOOKUP(B62,Startovka!$A$2:$F$92,6,FALSE)</f>
        <v>M2</v>
      </c>
      <c r="G62" s="1" t="s">
        <v>229</v>
      </c>
      <c r="H62" s="1" t="s">
        <v>229</v>
      </c>
      <c r="I62" s="1" t="s">
        <v>229</v>
      </c>
      <c r="J62" s="1" t="s">
        <v>229</v>
      </c>
      <c r="K62" s="1"/>
      <c r="L62" s="1"/>
      <c r="M62" s="1"/>
      <c r="N62" s="1" t="s">
        <v>229</v>
      </c>
      <c r="O62" s="1"/>
      <c r="P62" s="1" t="s">
        <v>229</v>
      </c>
      <c r="Q62" s="1" t="s">
        <v>229</v>
      </c>
      <c r="R62" s="1"/>
      <c r="S62" s="1" t="s">
        <v>229</v>
      </c>
      <c r="T62" s="1"/>
      <c r="U62" s="14" t="s">
        <v>229</v>
      </c>
      <c r="V62" s="14">
        <f t="shared" si="6"/>
        <v>0</v>
      </c>
      <c r="W62" s="5">
        <f t="shared" si="4"/>
        <v>240</v>
      </c>
      <c r="X62" s="40">
        <v>0.06103627314814814</v>
      </c>
      <c r="Y62" s="13">
        <v>7</v>
      </c>
      <c r="AA62" s="7">
        <f t="shared" si="7"/>
        <v>0</v>
      </c>
    </row>
    <row r="63" spans="1:27" ht="15">
      <c r="A63" s="14">
        <v>55</v>
      </c>
      <c r="B63" s="8">
        <v>76</v>
      </c>
      <c r="C63" s="14" t="str">
        <f>VLOOKUP(B63,Startovka!$A$2:$F$92,2,FALSE)</f>
        <v>Fulem</v>
      </c>
      <c r="D63" s="14" t="str">
        <f>VLOOKUP(B63,Startovka!$A$2:$F$92,3,FALSE)</f>
        <v>Josef</v>
      </c>
      <c r="E63" s="14">
        <f>VLOOKUP(B63,Startovka!$A$2:$F$92,4,FALSE)</f>
        <v>0</v>
      </c>
      <c r="F63" s="14" t="str">
        <f>VLOOKUP(B63,Startovka!$A$2:$F$92,6,FALSE)</f>
        <v>M1</v>
      </c>
      <c r="G63" s="1" t="s">
        <v>229</v>
      </c>
      <c r="H63" s="1" t="s">
        <v>229</v>
      </c>
      <c r="I63" s="1" t="s">
        <v>229</v>
      </c>
      <c r="J63" s="1" t="s">
        <v>229</v>
      </c>
      <c r="K63" s="1" t="s">
        <v>229</v>
      </c>
      <c r="L63" s="1" t="s">
        <v>229</v>
      </c>
      <c r="M63" s="1" t="s">
        <v>229</v>
      </c>
      <c r="N63" s="1" t="s">
        <v>229</v>
      </c>
      <c r="O63" s="1" t="s">
        <v>229</v>
      </c>
      <c r="P63" s="1" t="s">
        <v>229</v>
      </c>
      <c r="Q63" s="1" t="s">
        <v>229</v>
      </c>
      <c r="R63" s="1"/>
      <c r="S63" s="1"/>
      <c r="T63" s="1"/>
      <c r="U63" s="14"/>
      <c r="V63" s="14">
        <f t="shared" si="6"/>
        <v>90</v>
      </c>
      <c r="W63" s="5">
        <f t="shared" si="4"/>
        <v>240</v>
      </c>
      <c r="X63" s="40">
        <v>0.06855739583333333</v>
      </c>
      <c r="Y63" s="13">
        <v>23</v>
      </c>
      <c r="AA63" s="7">
        <f t="shared" si="7"/>
        <v>9</v>
      </c>
    </row>
    <row r="64" spans="1:27" ht="15">
      <c r="A64" s="14">
        <v>56</v>
      </c>
      <c r="B64" s="8">
        <v>29</v>
      </c>
      <c r="C64" s="14" t="str">
        <f>VLOOKUP(B64,Startovka!$A$2:$F$92,2,FALSE)</f>
        <v>Teplý</v>
      </c>
      <c r="D64" s="14" t="str">
        <f>VLOOKUP(B64,Startovka!$A$2:$F$92,3,FALSE)</f>
        <v>Ondřej</v>
      </c>
      <c r="E64" s="14" t="str">
        <f>VLOOKUP(B64,Startovka!$A$2:$F$92,4,FALSE)</f>
        <v>CK Úvaly</v>
      </c>
      <c r="F64" s="14" t="str">
        <f>VLOOKUP(B64,Startovka!$A$2:$F$92,6,FALSE)</f>
        <v>M1</v>
      </c>
      <c r="G64" s="1" t="s">
        <v>229</v>
      </c>
      <c r="H64" s="1" t="s">
        <v>229</v>
      </c>
      <c r="I64" s="1" t="s">
        <v>229</v>
      </c>
      <c r="J64" s="1" t="s">
        <v>229</v>
      </c>
      <c r="K64" s="1" t="s">
        <v>229</v>
      </c>
      <c r="L64" s="1" t="s">
        <v>229</v>
      </c>
      <c r="M64" s="1" t="s">
        <v>229</v>
      </c>
      <c r="N64" s="1" t="s">
        <v>229</v>
      </c>
      <c r="O64" s="1" t="s">
        <v>229</v>
      </c>
      <c r="P64" s="1" t="s">
        <v>229</v>
      </c>
      <c r="Q64" s="1" t="s">
        <v>229</v>
      </c>
      <c r="R64" s="1" t="s">
        <v>229</v>
      </c>
      <c r="S64" s="1" t="s">
        <v>229</v>
      </c>
      <c r="T64" s="1" t="s">
        <v>229</v>
      </c>
      <c r="U64" s="14" t="s">
        <v>229</v>
      </c>
      <c r="V64" s="14">
        <f t="shared" si="6"/>
        <v>190</v>
      </c>
      <c r="W64" s="5">
        <f t="shared" si="4"/>
        <v>240</v>
      </c>
      <c r="X64" s="40">
        <v>0.07530012731481478</v>
      </c>
      <c r="Y64" s="13">
        <v>24</v>
      </c>
      <c r="AA64" s="7">
        <f t="shared" si="7"/>
        <v>19</v>
      </c>
    </row>
    <row r="65" spans="1:27" ht="15">
      <c r="A65" s="14">
        <v>57</v>
      </c>
      <c r="B65" s="8">
        <v>16</v>
      </c>
      <c r="C65" s="14" t="str">
        <f>VLOOKUP(B65,Startovka!$A$2:$F$92,2,FALSE)</f>
        <v>Adam</v>
      </c>
      <c r="D65" s="14" t="str">
        <f>VLOOKUP(B65,Startovka!$A$2:$F$92,3,FALSE)</f>
        <v>Martin</v>
      </c>
      <c r="E65" s="14" t="str">
        <f>VLOOKUP(B65,Startovka!$A$2:$F$92,4,FALSE)</f>
        <v>Bike service Klecany</v>
      </c>
      <c r="F65" s="14" t="str">
        <f>VLOOKUP(B65,Startovka!$A$2:$F$92,6,FALSE)</f>
        <v>M0</v>
      </c>
      <c r="G65" s="1" t="s">
        <v>229</v>
      </c>
      <c r="H65" s="1" t="s">
        <v>229</v>
      </c>
      <c r="I65" s="1" t="s">
        <v>229</v>
      </c>
      <c r="J65" s="1" t="s">
        <v>229</v>
      </c>
      <c r="K65" s="1"/>
      <c r="L65" s="1"/>
      <c r="M65" s="1" t="s">
        <v>229</v>
      </c>
      <c r="N65" s="1" t="s">
        <v>229</v>
      </c>
      <c r="O65" s="1" t="s">
        <v>229</v>
      </c>
      <c r="P65" s="1" t="s">
        <v>229</v>
      </c>
      <c r="Q65" s="1"/>
      <c r="R65" s="1"/>
      <c r="S65" s="1"/>
      <c r="T65" s="1"/>
      <c r="U65" s="14" t="s">
        <v>229</v>
      </c>
      <c r="V65" s="14">
        <f t="shared" si="6"/>
        <v>0</v>
      </c>
      <c r="W65" s="5">
        <f t="shared" si="4"/>
        <v>230</v>
      </c>
      <c r="X65" s="40">
        <v>0.0600159259259259</v>
      </c>
      <c r="Y65" s="13">
        <v>2</v>
      </c>
      <c r="AA65" s="7">
        <f t="shared" si="7"/>
        <v>0</v>
      </c>
    </row>
    <row r="66" spans="1:27" ht="15">
      <c r="A66" s="14">
        <v>58</v>
      </c>
      <c r="B66" s="8">
        <v>81</v>
      </c>
      <c r="C66" s="14" t="str">
        <f>VLOOKUP(B66,Startovka!$A$2:$F$92,2,FALSE)</f>
        <v>Urbanovská</v>
      </c>
      <c r="D66" s="14" t="str">
        <f>VLOOKUP(B66,Startovka!$A$2:$F$92,3,FALSE)</f>
        <v>Aneta</v>
      </c>
      <c r="E66" s="14" t="str">
        <f>VLOOKUP(B66,Startovka!$A$2:$F$92,4,FALSE)</f>
        <v>Ekonom Praha outdoor sports</v>
      </c>
      <c r="F66" s="14" t="str">
        <f>VLOOKUP(B66,Startovka!$A$2:$F$92,6,FALSE)</f>
        <v>ZA</v>
      </c>
      <c r="G66" s="1"/>
      <c r="H66" s="1" t="s">
        <v>229</v>
      </c>
      <c r="I66" s="1" t="s">
        <v>229</v>
      </c>
      <c r="J66" s="1" t="s">
        <v>229</v>
      </c>
      <c r="K66" s="1"/>
      <c r="L66" s="1" t="s">
        <v>229</v>
      </c>
      <c r="M66" s="1" t="s">
        <v>229</v>
      </c>
      <c r="N66" s="1" t="s">
        <v>229</v>
      </c>
      <c r="O66" s="1" t="s">
        <v>229</v>
      </c>
      <c r="P66" s="1"/>
      <c r="Q66" s="1"/>
      <c r="R66" s="1"/>
      <c r="S66" s="1"/>
      <c r="T66" s="1"/>
      <c r="U66" s="14" t="s">
        <v>229</v>
      </c>
      <c r="V66" s="14">
        <f t="shared" si="6"/>
        <v>0</v>
      </c>
      <c r="W66" s="5">
        <f t="shared" si="4"/>
        <v>230</v>
      </c>
      <c r="X66" s="40">
        <v>0.062298483796296315</v>
      </c>
      <c r="Y66" s="13">
        <v>4</v>
      </c>
      <c r="AA66" s="7">
        <f t="shared" si="7"/>
        <v>0</v>
      </c>
    </row>
    <row r="67" spans="1:27" ht="15">
      <c r="A67" s="14">
        <v>59</v>
      </c>
      <c r="B67" s="8">
        <v>74</v>
      </c>
      <c r="C67" s="14" t="str">
        <f>VLOOKUP(B67,Startovka!$A$2:$F$92,2,FALSE)</f>
        <v>Kubát</v>
      </c>
      <c r="D67" s="14" t="str">
        <f>VLOOKUP(B67,Startovka!$A$2:$F$92,3,FALSE)</f>
        <v>Pavel</v>
      </c>
      <c r="E67" s="14">
        <f>VLOOKUP(B67,Startovka!$A$2:$F$92,4,FALSE)</f>
        <v>0</v>
      </c>
      <c r="F67" s="14" t="str">
        <f>VLOOKUP(B67,Startovka!$A$2:$F$92,6,FALSE)</f>
        <v>M2</v>
      </c>
      <c r="G67" s="1"/>
      <c r="H67" s="1" t="s">
        <v>229</v>
      </c>
      <c r="I67" s="1" t="s">
        <v>229</v>
      </c>
      <c r="J67" s="1" t="s">
        <v>229</v>
      </c>
      <c r="K67" s="1"/>
      <c r="L67" s="1" t="s">
        <v>229</v>
      </c>
      <c r="M67" s="1"/>
      <c r="N67" s="1" t="s">
        <v>229</v>
      </c>
      <c r="O67" s="1" t="s">
        <v>229</v>
      </c>
      <c r="P67" s="1"/>
      <c r="Q67" s="1" t="s">
        <v>229</v>
      </c>
      <c r="R67" s="1"/>
      <c r="S67" s="1" t="s">
        <v>229</v>
      </c>
      <c r="T67" s="1"/>
      <c r="U67" s="14" t="s">
        <v>229</v>
      </c>
      <c r="V67" s="14">
        <f t="shared" si="6"/>
        <v>40</v>
      </c>
      <c r="W67" s="5">
        <f t="shared" si="4"/>
        <v>230</v>
      </c>
      <c r="X67" s="40">
        <v>0.06493651620370373</v>
      </c>
      <c r="Y67" s="13">
        <v>8</v>
      </c>
      <c r="AA67" s="7">
        <f t="shared" si="7"/>
        <v>4</v>
      </c>
    </row>
    <row r="68" spans="1:27" ht="15">
      <c r="A68" s="14">
        <v>60</v>
      </c>
      <c r="B68" s="8">
        <v>87</v>
      </c>
      <c r="C68" s="14" t="str">
        <f>VLOOKUP(B68,Startovka!$A$2:$F$92,2,FALSE)</f>
        <v>Pastuchová</v>
      </c>
      <c r="D68" s="14" t="str">
        <f>VLOOKUP(B68,Startovka!$A$2:$F$92,3,FALSE)</f>
        <v>Tereza</v>
      </c>
      <c r="E68" s="14" t="str">
        <f>VLOOKUP(B68,Startovka!$A$2:$F$92,4,FALSE)</f>
        <v>Úvaly</v>
      </c>
      <c r="F68" s="14" t="str">
        <f>VLOOKUP(B68,Startovka!$A$2:$F$92,6,FALSE)</f>
        <v>Z1</v>
      </c>
      <c r="G68" s="1" t="s">
        <v>229</v>
      </c>
      <c r="H68" s="1" t="s">
        <v>229</v>
      </c>
      <c r="I68" s="1" t="s">
        <v>229</v>
      </c>
      <c r="J68" s="1" t="s">
        <v>229</v>
      </c>
      <c r="K68" s="1"/>
      <c r="L68" s="1" t="s">
        <v>229</v>
      </c>
      <c r="M68" s="1"/>
      <c r="N68" s="1" t="s">
        <v>229</v>
      </c>
      <c r="O68" s="1" t="s">
        <v>229</v>
      </c>
      <c r="P68" s="1" t="s">
        <v>229</v>
      </c>
      <c r="Q68" s="1"/>
      <c r="R68" s="1"/>
      <c r="S68" s="1"/>
      <c r="T68" s="1"/>
      <c r="U68" s="14"/>
      <c r="V68" s="14">
        <f t="shared" si="6"/>
        <v>0</v>
      </c>
      <c r="W68" s="5">
        <f t="shared" si="4"/>
        <v>220</v>
      </c>
      <c r="X68" s="40">
        <v>0.06087458333333331</v>
      </c>
      <c r="Y68" s="13">
        <v>11</v>
      </c>
      <c r="AA68" s="7">
        <f t="shared" si="7"/>
        <v>0</v>
      </c>
    </row>
    <row r="69" spans="1:27" ht="15">
      <c r="A69" s="14">
        <v>61</v>
      </c>
      <c r="B69" s="8">
        <v>100</v>
      </c>
      <c r="C69" s="14" t="str">
        <f>VLOOKUP(B69,Startovka!$A$2:$F$104,2,FALSE)</f>
        <v>Vyhnálková</v>
      </c>
      <c r="D69" s="14" t="str">
        <f>VLOOKUP(B69,Startovka!$A$2:$F$104,3,FALSE)</f>
        <v>Barbora</v>
      </c>
      <c r="E69" s="14" t="str">
        <f>VLOOKUP(B69,Startovka!$A$2:$F$104,4,FALSE)</f>
        <v>Říčany</v>
      </c>
      <c r="F69" s="14" t="str">
        <f>VLOOKUP(B69,Startovka!$A$2:$F$104,6,FALSE)</f>
        <v>Z0</v>
      </c>
      <c r="G69" s="1"/>
      <c r="H69" s="1" t="s">
        <v>229</v>
      </c>
      <c r="I69" s="1" t="s">
        <v>229</v>
      </c>
      <c r="J69" s="1" t="s">
        <v>229</v>
      </c>
      <c r="K69" s="1"/>
      <c r="L69" s="1" t="s">
        <v>229</v>
      </c>
      <c r="M69" s="1"/>
      <c r="N69" s="1" t="s">
        <v>229</v>
      </c>
      <c r="O69" s="1" t="s">
        <v>229</v>
      </c>
      <c r="P69" s="1"/>
      <c r="Q69" s="1"/>
      <c r="R69" s="1"/>
      <c r="S69" s="1"/>
      <c r="T69" s="1"/>
      <c r="U69" s="14" t="s">
        <v>229</v>
      </c>
      <c r="V69" s="14">
        <f t="shared" si="6"/>
        <v>0</v>
      </c>
      <c r="W69" s="5">
        <f t="shared" si="4"/>
        <v>210</v>
      </c>
      <c r="X69" s="40">
        <v>0.059467928240740715</v>
      </c>
      <c r="Y69" s="13">
        <v>3</v>
      </c>
      <c r="AA69" s="7">
        <f t="shared" si="7"/>
        <v>0</v>
      </c>
    </row>
    <row r="70" spans="1:27" ht="15">
      <c r="A70" s="14">
        <v>62</v>
      </c>
      <c r="B70" s="8">
        <v>88</v>
      </c>
      <c r="C70" s="14" t="str">
        <f>VLOOKUP(B70,Startovka!$A$2:$F$92,2,FALSE)</f>
        <v>Verner</v>
      </c>
      <c r="D70" s="14" t="str">
        <f>VLOOKUP(B70,Startovka!$A$2:$F$92,3,FALSE)</f>
        <v>Jan</v>
      </c>
      <c r="E70" s="14" t="str">
        <f>VLOOKUP(B70,Startovka!$A$2:$F$92,4,FALSE)</f>
        <v>Újezd</v>
      </c>
      <c r="F70" s="14" t="str">
        <f>VLOOKUP(B70,Startovka!$A$2:$F$92,6,FALSE)</f>
        <v>MA</v>
      </c>
      <c r="G70" s="1"/>
      <c r="H70" s="1"/>
      <c r="I70" s="1" t="s">
        <v>229</v>
      </c>
      <c r="J70" s="1"/>
      <c r="K70" s="1"/>
      <c r="L70" s="1" t="s">
        <v>229</v>
      </c>
      <c r="M70" s="1" t="s">
        <v>229</v>
      </c>
      <c r="N70" s="1" t="s">
        <v>229</v>
      </c>
      <c r="O70" s="1" t="s">
        <v>229</v>
      </c>
      <c r="P70" s="1"/>
      <c r="Q70" s="1" t="s">
        <v>229</v>
      </c>
      <c r="R70" s="1"/>
      <c r="S70" s="1"/>
      <c r="T70" s="1"/>
      <c r="U70" s="14" t="s">
        <v>229</v>
      </c>
      <c r="V70" s="14">
        <f t="shared" si="6"/>
        <v>0</v>
      </c>
      <c r="W70" s="5">
        <f t="shared" si="4"/>
        <v>210</v>
      </c>
      <c r="X70" s="40">
        <v>0.06041092592592592</v>
      </c>
      <c r="Y70" s="13">
        <v>10</v>
      </c>
      <c r="AA70" s="7">
        <f t="shared" si="7"/>
        <v>0</v>
      </c>
    </row>
    <row r="71" spans="1:27" ht="15">
      <c r="A71" s="14">
        <v>63</v>
      </c>
      <c r="B71" s="8">
        <v>25</v>
      </c>
      <c r="C71" s="14" t="str">
        <f>VLOOKUP(B71,Startovka!$A$2:$F$92,2,FALSE)</f>
        <v>Prokešová</v>
      </c>
      <c r="D71" s="14" t="str">
        <f>VLOOKUP(B71,Startovka!$A$2:$F$92,3,FALSE)</f>
        <v>Martina</v>
      </c>
      <c r="E71" s="14" t="str">
        <f>VLOOKUP(B71,Startovka!$A$2:$F$92,4,FALSE)</f>
        <v>CK Úvaly</v>
      </c>
      <c r="F71" s="14" t="str">
        <f>VLOOKUP(B71,Startovka!$A$2:$F$92,6,FALSE)</f>
        <v>Z1</v>
      </c>
      <c r="G71" s="1" t="s">
        <v>229</v>
      </c>
      <c r="H71" s="1" t="s">
        <v>229</v>
      </c>
      <c r="I71" s="1" t="s">
        <v>229</v>
      </c>
      <c r="J71" s="1" t="s">
        <v>229</v>
      </c>
      <c r="K71" s="1"/>
      <c r="L71" s="1"/>
      <c r="M71" s="1"/>
      <c r="N71" s="1"/>
      <c r="O71" s="1" t="s">
        <v>229</v>
      </c>
      <c r="P71" s="1" t="s">
        <v>229</v>
      </c>
      <c r="Q71" s="1" t="s">
        <v>229</v>
      </c>
      <c r="R71" s="1"/>
      <c r="S71" s="1" t="s">
        <v>229</v>
      </c>
      <c r="T71" s="1"/>
      <c r="U71" s="14" t="s">
        <v>229</v>
      </c>
      <c r="V71" s="14">
        <f t="shared" si="6"/>
        <v>30</v>
      </c>
      <c r="W71" s="5">
        <f t="shared" si="4"/>
        <v>200</v>
      </c>
      <c r="X71" s="40">
        <v>0.06401390046296297</v>
      </c>
      <c r="Y71" s="13">
        <v>12</v>
      </c>
      <c r="AA71" s="7">
        <f t="shared" si="7"/>
        <v>3</v>
      </c>
    </row>
    <row r="72" spans="1:27" ht="15">
      <c r="A72" s="14">
        <v>64</v>
      </c>
      <c r="B72" s="8">
        <v>18</v>
      </c>
      <c r="C72" s="14" t="str">
        <f>VLOOKUP(B72,Startovka!$A$2:$F$92,2,FALSE)</f>
        <v>Vejrostová</v>
      </c>
      <c r="D72" s="14" t="str">
        <f>VLOOKUP(B72,Startovka!$A$2:$F$92,3,FALSE)</f>
        <v>Lenka</v>
      </c>
      <c r="E72" s="14" t="str">
        <f>VLOOKUP(B72,Startovka!$A$2:$F$92,4,FALSE)</f>
        <v>KČT MTB Kralupy nad Vltavou</v>
      </c>
      <c r="F72" s="14" t="str">
        <f>VLOOKUP(B72,Startovka!$A$2:$F$92,6,FALSE)</f>
        <v>ZA</v>
      </c>
      <c r="G72" s="1"/>
      <c r="H72" s="1"/>
      <c r="I72" s="1"/>
      <c r="J72" s="1"/>
      <c r="K72" s="1"/>
      <c r="L72" s="1" t="s">
        <v>229</v>
      </c>
      <c r="M72" s="1"/>
      <c r="N72" s="1" t="s">
        <v>229</v>
      </c>
      <c r="O72" s="1"/>
      <c r="P72" s="1" t="s">
        <v>229</v>
      </c>
      <c r="Q72" s="1" t="s">
        <v>229</v>
      </c>
      <c r="R72" s="1" t="s">
        <v>229</v>
      </c>
      <c r="S72" s="1" t="s">
        <v>229</v>
      </c>
      <c r="T72" s="1" t="s">
        <v>229</v>
      </c>
      <c r="U72" s="14" t="s">
        <v>229</v>
      </c>
      <c r="V72" s="14">
        <f t="shared" si="6"/>
        <v>30</v>
      </c>
      <c r="W72" s="5">
        <f aca="true" t="shared" si="8" ref="W72:W102">SUM(IF(G72="x",$G$7,0),IF(H72="x",$H$7,0),IF(I72="x",$I$7,0),IF(J72="x",$J$7,0),IF(K72="x",$K$7,0),IF(L72="x",$L$7,0),IF(M72="x",$M$7),IF(N72="x",$N$7,0),IF(O72="x",$O$7,0),IF(P72="x",$P$7,0),IF(Q72="x",$Q$7,0),IF(R72="x",$R$7,0),IF(S72="x",$S$7,0),IF(T72="x",$T$7,0),IF(U72="x",$U$7,0),-V72)</f>
        <v>200</v>
      </c>
      <c r="X72" s="40">
        <v>0.0644325462962963</v>
      </c>
      <c r="Y72" s="13">
        <v>5</v>
      </c>
      <c r="AA72" s="7">
        <f t="shared" si="7"/>
        <v>3</v>
      </c>
    </row>
    <row r="73" spans="1:27" ht="15">
      <c r="A73" s="14">
        <v>65</v>
      </c>
      <c r="B73" s="8">
        <v>36</v>
      </c>
      <c r="C73" s="14" t="str">
        <f>VLOOKUP(B73,Startovka!$A$2:$F$92,2,FALSE)</f>
        <v>Brouček</v>
      </c>
      <c r="D73" s="14" t="str">
        <f>VLOOKUP(B73,Startovka!$A$2:$F$92,3,FALSE)</f>
        <v>Vojtěch</v>
      </c>
      <c r="E73" s="14">
        <f>VLOOKUP(B73,Startovka!$A$2:$F$92,4,FALSE)</f>
        <v>0</v>
      </c>
      <c r="F73" s="14" t="s">
        <v>21</v>
      </c>
      <c r="G73" s="1" t="s">
        <v>229</v>
      </c>
      <c r="H73" s="1"/>
      <c r="I73" s="1"/>
      <c r="J73" s="1" t="s">
        <v>229</v>
      </c>
      <c r="K73" s="1"/>
      <c r="L73" s="1" t="s">
        <v>229</v>
      </c>
      <c r="M73" s="1" t="s">
        <v>229</v>
      </c>
      <c r="N73" s="1" t="s">
        <v>229</v>
      </c>
      <c r="O73" s="1" t="s">
        <v>229</v>
      </c>
      <c r="P73" s="1" t="s">
        <v>229</v>
      </c>
      <c r="Q73" s="1"/>
      <c r="R73" s="1"/>
      <c r="S73" s="1"/>
      <c r="T73" s="1"/>
      <c r="U73" s="14"/>
      <c r="V73" s="14">
        <f t="shared" si="6"/>
        <v>0</v>
      </c>
      <c r="W73" s="5">
        <f t="shared" si="8"/>
        <v>190</v>
      </c>
      <c r="X73" s="40">
        <v>0.05909731481481478</v>
      </c>
      <c r="Y73" s="13">
        <v>25</v>
      </c>
      <c r="AA73" s="7">
        <f t="shared" si="7"/>
        <v>0</v>
      </c>
    </row>
    <row r="74" spans="1:27" ht="15">
      <c r="A74" s="14">
        <v>66</v>
      </c>
      <c r="B74" s="8">
        <v>28</v>
      </c>
      <c r="C74" s="14" t="str">
        <f>VLOOKUP(B74,Startovka!$A$2:$F$92,2,FALSE)</f>
        <v>Vyčítal</v>
      </c>
      <c r="D74" s="14" t="str">
        <f>VLOOKUP(B74,Startovka!$A$2:$F$92,3,FALSE)</f>
        <v>Martin</v>
      </c>
      <c r="E74" s="14" t="str">
        <f>VLOOKUP(B74,Startovka!$A$2:$F$92,4,FALSE)</f>
        <v>Praha 10</v>
      </c>
      <c r="F74" s="14" t="str">
        <f>VLOOKUP(B74,Startovka!$A$2:$F$92,6,FALSE)</f>
        <v>MA</v>
      </c>
      <c r="G74" s="1"/>
      <c r="H74" s="1" t="s">
        <v>229</v>
      </c>
      <c r="I74" s="1" t="s">
        <v>229</v>
      </c>
      <c r="J74" s="1" t="s">
        <v>229</v>
      </c>
      <c r="K74" s="1"/>
      <c r="L74" s="1" t="s">
        <v>229</v>
      </c>
      <c r="M74" s="1"/>
      <c r="N74" s="1" t="s">
        <v>229</v>
      </c>
      <c r="O74" s="1" t="s">
        <v>229</v>
      </c>
      <c r="P74" s="1" t="s">
        <v>229</v>
      </c>
      <c r="Q74" s="1"/>
      <c r="R74" s="1"/>
      <c r="S74" s="1"/>
      <c r="T74" s="1"/>
      <c r="U74" s="14"/>
      <c r="V74" s="14">
        <f t="shared" si="6"/>
        <v>0</v>
      </c>
      <c r="W74" s="5">
        <f t="shared" si="8"/>
        <v>190</v>
      </c>
      <c r="X74" s="40">
        <v>0.06040418981481478</v>
      </c>
      <c r="Y74" s="13">
        <v>11</v>
      </c>
      <c r="AA74" s="7">
        <f t="shared" si="7"/>
        <v>0</v>
      </c>
    </row>
    <row r="75" spans="1:27" ht="15">
      <c r="A75" s="14">
        <v>67</v>
      </c>
      <c r="B75" s="8">
        <v>26</v>
      </c>
      <c r="C75" s="14" t="str">
        <f>VLOOKUP(B75,Startovka!$A$2:$F$92,2,FALSE)</f>
        <v>Trapková</v>
      </c>
      <c r="D75" s="14" t="str">
        <f>VLOOKUP(B75,Startovka!$A$2:$F$92,3,FALSE)</f>
        <v>Kateřina</v>
      </c>
      <c r="E75" s="14" t="str">
        <f>VLOOKUP(B75,Startovka!$A$2:$F$92,4,FALSE)</f>
        <v>CK Úvaly</v>
      </c>
      <c r="F75" s="14" t="str">
        <f>VLOOKUP(B75,Startovka!$A$2:$F$92,6,FALSE)</f>
        <v>Z1</v>
      </c>
      <c r="G75" s="1" t="s">
        <v>229</v>
      </c>
      <c r="H75" s="1" t="s">
        <v>229</v>
      </c>
      <c r="I75" s="1" t="s">
        <v>229</v>
      </c>
      <c r="J75" s="1" t="s">
        <v>229</v>
      </c>
      <c r="K75" s="1"/>
      <c r="L75" s="1"/>
      <c r="M75" s="1"/>
      <c r="N75" s="1"/>
      <c r="O75" s="1" t="s">
        <v>229</v>
      </c>
      <c r="P75" s="1" t="s">
        <v>229</v>
      </c>
      <c r="Q75" s="1" t="s">
        <v>229</v>
      </c>
      <c r="R75" s="1"/>
      <c r="S75" s="1" t="s">
        <v>229</v>
      </c>
      <c r="T75" s="1"/>
      <c r="U75" s="14" t="s">
        <v>229</v>
      </c>
      <c r="V75" s="14">
        <f t="shared" si="6"/>
        <v>40</v>
      </c>
      <c r="W75" s="5">
        <f t="shared" si="8"/>
        <v>190</v>
      </c>
      <c r="X75" s="40">
        <v>0.06498203703703707</v>
      </c>
      <c r="Y75" s="13">
        <v>13</v>
      </c>
      <c r="AA75" s="7">
        <f t="shared" si="7"/>
        <v>4</v>
      </c>
    </row>
    <row r="76" spans="1:27" ht="15">
      <c r="A76" s="14">
        <v>68</v>
      </c>
      <c r="B76" s="8">
        <v>71</v>
      </c>
      <c r="C76" s="14" t="str">
        <f>VLOOKUP(B76,Startovka!$A$2:$F$92,2,FALSE)</f>
        <v>Florianek</v>
      </c>
      <c r="D76" s="14" t="str">
        <f>VLOOKUP(B76,Startovka!$A$2:$F$92,3,FALSE)</f>
        <v>Michal</v>
      </c>
      <c r="E76" s="14" t="str">
        <f>VLOOKUP(B76,Startovka!$A$2:$F$92,4,FALSE)</f>
        <v>Singlespeed Dub Team</v>
      </c>
      <c r="F76" s="14" t="str">
        <f>VLOOKUP(B76,Startovka!$A$2:$F$92,6,FALSE)</f>
        <v>M1</v>
      </c>
      <c r="G76" s="1" t="s">
        <v>229</v>
      </c>
      <c r="H76" s="1" t="s">
        <v>229</v>
      </c>
      <c r="I76" s="1"/>
      <c r="J76" s="1"/>
      <c r="K76" s="1"/>
      <c r="L76" s="1" t="s">
        <v>229</v>
      </c>
      <c r="M76" s="1"/>
      <c r="N76" s="1" t="s">
        <v>229</v>
      </c>
      <c r="O76" s="1" t="s">
        <v>229</v>
      </c>
      <c r="P76" s="1" t="s">
        <v>229</v>
      </c>
      <c r="Q76" s="1" t="s">
        <v>229</v>
      </c>
      <c r="R76" s="1" t="s">
        <v>229</v>
      </c>
      <c r="S76" s="1" t="s">
        <v>229</v>
      </c>
      <c r="T76" s="1" t="s">
        <v>229</v>
      </c>
      <c r="U76" s="14" t="s">
        <v>229</v>
      </c>
      <c r="V76" s="14">
        <f t="shared" si="6"/>
        <v>150</v>
      </c>
      <c r="W76" s="5">
        <f t="shared" si="8"/>
        <v>180</v>
      </c>
      <c r="X76" s="40">
        <v>0.07269250000000003</v>
      </c>
      <c r="Y76" s="13">
        <v>26</v>
      </c>
      <c r="AA76" s="7">
        <f t="shared" si="7"/>
        <v>15</v>
      </c>
    </row>
    <row r="77" spans="1:27" ht="15">
      <c r="A77" s="14">
        <v>69</v>
      </c>
      <c r="B77" s="8">
        <v>70</v>
      </c>
      <c r="C77" s="14" t="str">
        <f>VLOOKUP(B77,Startovka!$A$2:$F$92,2,FALSE)</f>
        <v>Roj</v>
      </c>
      <c r="D77" s="14" t="str">
        <f>VLOOKUP(B77,Startovka!$A$2:$F$92,3,FALSE)</f>
        <v>David</v>
      </c>
      <c r="E77" s="14" t="str">
        <f>VLOOKUP(B77,Startovka!$A$2:$F$92,4,FALSE)</f>
        <v>Felt singlespeed Mnichovice</v>
      </c>
      <c r="F77" s="14" t="str">
        <f>VLOOKUP(B77,Startovka!$A$2:$F$92,6,FALSE)</f>
        <v>M1</v>
      </c>
      <c r="G77" s="1" t="s">
        <v>229</v>
      </c>
      <c r="H77" s="1" t="s">
        <v>229</v>
      </c>
      <c r="I77" s="1"/>
      <c r="J77" s="1"/>
      <c r="K77" s="1"/>
      <c r="L77" s="1" t="s">
        <v>229</v>
      </c>
      <c r="M77" s="1"/>
      <c r="N77" s="1" t="s">
        <v>229</v>
      </c>
      <c r="O77" s="1" t="s">
        <v>229</v>
      </c>
      <c r="P77" s="1" t="s">
        <v>229</v>
      </c>
      <c r="Q77" s="1" t="s">
        <v>229</v>
      </c>
      <c r="R77" s="1" t="s">
        <v>229</v>
      </c>
      <c r="S77" s="1" t="s">
        <v>229</v>
      </c>
      <c r="T77" s="1" t="s">
        <v>229</v>
      </c>
      <c r="U77" s="14" t="s">
        <v>229</v>
      </c>
      <c r="V77" s="14">
        <f t="shared" si="6"/>
        <v>150</v>
      </c>
      <c r="W77" s="5">
        <f t="shared" si="8"/>
        <v>180</v>
      </c>
      <c r="X77" s="40">
        <v>0.07270781250000002</v>
      </c>
      <c r="Y77" s="13">
        <v>27</v>
      </c>
      <c r="AA77" s="7">
        <f t="shared" si="7"/>
        <v>15</v>
      </c>
    </row>
    <row r="78" spans="1:27" ht="15">
      <c r="A78" s="14">
        <v>70</v>
      </c>
      <c r="B78" s="8">
        <v>11</v>
      </c>
      <c r="C78" s="14" t="str">
        <f>VLOOKUP(B78,Startovka!$A$2:$F$92,2,FALSE)</f>
        <v>Joachymstál</v>
      </c>
      <c r="D78" s="14" t="str">
        <f>VLOOKUP(B78,Startovka!$A$2:$F$92,3,FALSE)</f>
        <v>Vít</v>
      </c>
      <c r="E78" s="14" t="str">
        <f>VLOOKUP(B78,Startovka!$A$2:$F$92,4,FALSE)</f>
        <v>Kly</v>
      </c>
      <c r="F78" s="14" t="str">
        <f>VLOOKUP(B78,Startovka!$A$2:$F$92,6,FALSE)</f>
        <v>M1</v>
      </c>
      <c r="G78" s="1" t="s">
        <v>229</v>
      </c>
      <c r="H78" s="1" t="s">
        <v>229</v>
      </c>
      <c r="I78" s="1" t="s">
        <v>229</v>
      </c>
      <c r="J78" s="1" t="s">
        <v>229</v>
      </c>
      <c r="K78" s="1"/>
      <c r="L78" s="1"/>
      <c r="M78" s="1" t="s">
        <v>229</v>
      </c>
      <c r="N78" s="1" t="s">
        <v>229</v>
      </c>
      <c r="O78" s="1"/>
      <c r="P78" s="1" t="s">
        <v>229</v>
      </c>
      <c r="Q78" s="1"/>
      <c r="R78" s="1"/>
      <c r="S78" s="1"/>
      <c r="T78" s="1"/>
      <c r="U78" s="14"/>
      <c r="V78" s="14">
        <f t="shared" si="6"/>
        <v>0</v>
      </c>
      <c r="W78" s="5">
        <f t="shared" si="8"/>
        <v>170</v>
      </c>
      <c r="X78" s="40">
        <v>0.0483048842592593</v>
      </c>
      <c r="Y78" s="13">
        <v>28</v>
      </c>
      <c r="AA78" s="7">
        <f t="shared" si="7"/>
        <v>0</v>
      </c>
    </row>
    <row r="79" spans="1:27" ht="15">
      <c r="A79" s="14">
        <v>71</v>
      </c>
      <c r="B79" s="8">
        <v>30</v>
      </c>
      <c r="C79" s="14" t="str">
        <f>VLOOKUP(B79,Startovka!$A$2:$F$92,2,FALSE)</f>
        <v>Šedivá</v>
      </c>
      <c r="D79" s="14" t="str">
        <f>VLOOKUP(B79,Startovka!$A$2:$F$92,3,FALSE)</f>
        <v>Renata</v>
      </c>
      <c r="E79" s="14">
        <f>VLOOKUP(B79,Startovka!$A$2:$F$92,4,FALSE)</f>
        <v>0</v>
      </c>
      <c r="F79" s="14" t="str">
        <f>VLOOKUP(B79,Startovka!$A$2:$F$92,6,FALSE)</f>
        <v>ZA</v>
      </c>
      <c r="G79" s="1" t="s">
        <v>229</v>
      </c>
      <c r="H79" s="1" t="s">
        <v>229</v>
      </c>
      <c r="I79" s="1" t="s">
        <v>229</v>
      </c>
      <c r="J79" s="1" t="s">
        <v>229</v>
      </c>
      <c r="K79" s="1"/>
      <c r="L79" s="1" t="s">
        <v>229</v>
      </c>
      <c r="M79" s="1" t="s">
        <v>229</v>
      </c>
      <c r="N79" s="1"/>
      <c r="O79" s="1"/>
      <c r="P79" s="1" t="s">
        <v>229</v>
      </c>
      <c r="Q79" s="1"/>
      <c r="R79" s="1"/>
      <c r="S79" s="1"/>
      <c r="T79" s="1"/>
      <c r="U79" s="14"/>
      <c r="V79" s="14">
        <f t="shared" si="6"/>
        <v>0</v>
      </c>
      <c r="W79" s="5">
        <f t="shared" si="8"/>
        <v>170</v>
      </c>
      <c r="X79" s="40">
        <v>0.056883344907407374</v>
      </c>
      <c r="Y79" s="13">
        <v>6</v>
      </c>
      <c r="AA79" s="7">
        <f t="shared" si="7"/>
        <v>0</v>
      </c>
    </row>
    <row r="80" spans="1:27" ht="15">
      <c r="A80" s="14">
        <v>72</v>
      </c>
      <c r="B80" s="8">
        <v>41</v>
      </c>
      <c r="C80" s="14" t="str">
        <f>VLOOKUP(B80,Startovka!$A$2:$F$92,2,FALSE)</f>
        <v>Hejna</v>
      </c>
      <c r="D80" s="14" t="str">
        <f>VLOOKUP(B80,Startovka!$A$2:$F$92,3,FALSE)</f>
        <v>JIří</v>
      </c>
      <c r="E80" s="14" t="str">
        <f>VLOOKUP(B80,Startovka!$A$2:$F$92,4,FALSE)</f>
        <v>bike and surf team</v>
      </c>
      <c r="F80" s="14" t="str">
        <f>VLOOKUP(B80,Startovka!$A$2:$F$92,6,FALSE)</f>
        <v>M2</v>
      </c>
      <c r="G80" s="1"/>
      <c r="H80" s="1"/>
      <c r="I80" s="1" t="s">
        <v>229</v>
      </c>
      <c r="J80" s="1" t="s">
        <v>229</v>
      </c>
      <c r="K80" s="1"/>
      <c r="L80" s="1" t="s">
        <v>229</v>
      </c>
      <c r="M80" s="1" t="s">
        <v>229</v>
      </c>
      <c r="N80" s="1" t="s">
        <v>229</v>
      </c>
      <c r="O80" s="1" t="s">
        <v>229</v>
      </c>
      <c r="P80" s="1" t="s">
        <v>229</v>
      </c>
      <c r="Q80" s="1"/>
      <c r="R80" s="1"/>
      <c r="S80" s="1"/>
      <c r="T80" s="1"/>
      <c r="U80" s="14"/>
      <c r="V80" s="14">
        <f t="shared" si="6"/>
        <v>0</v>
      </c>
      <c r="W80" s="5">
        <f t="shared" si="8"/>
        <v>170</v>
      </c>
      <c r="X80" s="40">
        <v>0.05767298611111116</v>
      </c>
      <c r="Y80" s="13">
        <v>9</v>
      </c>
      <c r="AA80" s="7">
        <f t="shared" si="7"/>
        <v>0</v>
      </c>
    </row>
    <row r="81" spans="1:27" ht="15">
      <c r="A81" s="14">
        <v>73</v>
      </c>
      <c r="B81" s="8">
        <v>35</v>
      </c>
      <c r="C81" s="14" t="str">
        <f>VLOOKUP(B81,Startovka!$A$2:$F$92,2,FALSE)</f>
        <v>Bušek</v>
      </c>
      <c r="D81" s="14" t="str">
        <f>VLOOKUP(B81,Startovka!$A$2:$F$92,3,FALSE)</f>
        <v>David</v>
      </c>
      <c r="E81" s="14" t="str">
        <f>VLOOKUP(B81,Startovka!$A$2:$F$92,4,FALSE)</f>
        <v>Praha 9, Újezd nad Lesy</v>
      </c>
      <c r="F81" s="14" t="str">
        <f>VLOOKUP(B81,Startovka!$A$2:$F$92,6,FALSE)</f>
        <v>M1</v>
      </c>
      <c r="G81" s="1" t="s">
        <v>229</v>
      </c>
      <c r="H81" s="1" t="s">
        <v>229</v>
      </c>
      <c r="I81" s="1" t="s">
        <v>229</v>
      </c>
      <c r="J81" s="1" t="s">
        <v>229</v>
      </c>
      <c r="K81" s="1"/>
      <c r="L81" s="1"/>
      <c r="M81" s="1" t="s">
        <v>229</v>
      </c>
      <c r="N81" s="1" t="s">
        <v>229</v>
      </c>
      <c r="O81" s="1"/>
      <c r="P81" s="1" t="s">
        <v>229</v>
      </c>
      <c r="Q81" s="1"/>
      <c r="R81" s="1"/>
      <c r="S81" s="1"/>
      <c r="T81" s="1"/>
      <c r="U81" s="14"/>
      <c r="V81" s="14">
        <f t="shared" si="6"/>
        <v>0</v>
      </c>
      <c r="W81" s="5">
        <f t="shared" si="8"/>
        <v>170</v>
      </c>
      <c r="X81" s="40">
        <v>0.05927954861111108</v>
      </c>
      <c r="Y81" s="13">
        <v>29</v>
      </c>
      <c r="AA81" s="7">
        <f t="shared" si="7"/>
        <v>0</v>
      </c>
    </row>
    <row r="82" spans="1:27" ht="15">
      <c r="A82" s="14">
        <v>74</v>
      </c>
      <c r="B82" s="8">
        <v>79</v>
      </c>
      <c r="C82" s="14" t="str">
        <f>VLOOKUP(B82,Startovka!$A$2:$F$92,2,FALSE)</f>
        <v>Hájek</v>
      </c>
      <c r="D82" s="14" t="str">
        <f>VLOOKUP(B82,Startovka!$A$2:$F$92,3,FALSE)</f>
        <v>Vladimír</v>
      </c>
      <c r="E82" s="14">
        <f>VLOOKUP(B82,Startovka!$A$2:$F$92,4,FALSE)</f>
        <v>0</v>
      </c>
      <c r="F82" s="14" t="str">
        <f>VLOOKUP(B82,Startovka!$A$2:$F$92,6,FALSE)</f>
        <v>M2</v>
      </c>
      <c r="G82" s="1"/>
      <c r="H82" s="1" t="s">
        <v>229</v>
      </c>
      <c r="I82" s="1" t="s">
        <v>229</v>
      </c>
      <c r="J82" s="1" t="s">
        <v>229</v>
      </c>
      <c r="K82" s="1" t="s">
        <v>229</v>
      </c>
      <c r="L82" s="1"/>
      <c r="M82" s="1" t="s">
        <v>229</v>
      </c>
      <c r="N82" s="1" t="s">
        <v>229</v>
      </c>
      <c r="O82" s="1"/>
      <c r="P82" s="1" t="s">
        <v>229</v>
      </c>
      <c r="Q82" s="1"/>
      <c r="R82" s="1"/>
      <c r="S82" s="1"/>
      <c r="T82" s="1"/>
      <c r="U82" s="14"/>
      <c r="V82" s="14">
        <f t="shared" si="6"/>
        <v>20</v>
      </c>
      <c r="W82" s="5">
        <f t="shared" si="8"/>
        <v>170</v>
      </c>
      <c r="X82" s="40">
        <v>0.06329817129629633</v>
      </c>
      <c r="Y82" s="13">
        <v>10</v>
      </c>
      <c r="AA82" s="7">
        <f t="shared" si="7"/>
        <v>2</v>
      </c>
    </row>
    <row r="83" spans="1:27" ht="15">
      <c r="A83" s="14">
        <v>75</v>
      </c>
      <c r="B83" s="8">
        <v>89</v>
      </c>
      <c r="C83" s="14" t="str">
        <f>VLOOKUP(B83,Startovka!$A$2:$F$92,2,FALSE)</f>
        <v>Novák</v>
      </c>
      <c r="D83" s="14" t="str">
        <f>VLOOKUP(B83,Startovka!$A$2:$F$92,3,FALSE)</f>
        <v>František</v>
      </c>
      <c r="E83" s="14" t="str">
        <f>VLOOKUP(B83,Startovka!$A$2:$F$92,4,FALSE)</f>
        <v>Šestajovice</v>
      </c>
      <c r="F83" s="14" t="str">
        <f>VLOOKUP(B83,Startovka!$A$2:$F$92,6,FALSE)</f>
        <v>M0</v>
      </c>
      <c r="G83" s="1"/>
      <c r="H83" s="1"/>
      <c r="I83" s="1" t="s">
        <v>229</v>
      </c>
      <c r="J83" s="1"/>
      <c r="K83" s="1"/>
      <c r="L83" s="1"/>
      <c r="M83" s="1"/>
      <c r="N83" s="1"/>
      <c r="O83" s="1"/>
      <c r="P83" s="1" t="s">
        <v>229</v>
      </c>
      <c r="Q83" s="1" t="s">
        <v>229</v>
      </c>
      <c r="R83" s="1" t="s">
        <v>229</v>
      </c>
      <c r="S83" s="1" t="s">
        <v>229</v>
      </c>
      <c r="T83" s="1" t="s">
        <v>229</v>
      </c>
      <c r="U83" s="14" t="s">
        <v>229</v>
      </c>
      <c r="V83" s="14">
        <f t="shared" si="6"/>
        <v>0</v>
      </c>
      <c r="W83" s="5">
        <f t="shared" si="8"/>
        <v>160</v>
      </c>
      <c r="X83" s="40">
        <v>0.04980949074074071</v>
      </c>
      <c r="Y83" s="13">
        <v>3</v>
      </c>
      <c r="AA83" s="7">
        <f t="shared" si="7"/>
        <v>0</v>
      </c>
    </row>
    <row r="84" spans="1:27" ht="15">
      <c r="A84" s="14">
        <v>76</v>
      </c>
      <c r="B84" s="8">
        <v>54</v>
      </c>
      <c r="C84" s="14" t="str">
        <f>VLOOKUP(B84,Startovka!$A$2:$F$92,2,FALSE)</f>
        <v>Paulová</v>
      </c>
      <c r="D84" s="14" t="str">
        <f>VLOOKUP(B84,Startovka!$A$2:$F$92,3,FALSE)</f>
        <v>Zlata</v>
      </c>
      <c r="E84" s="14" t="str">
        <f>VLOOKUP(B84,Startovka!$A$2:$F$92,4,FALSE)</f>
        <v>Oceloví Letci</v>
      </c>
      <c r="F84" s="14" t="str">
        <f>VLOOKUP(B84,Startovka!$A$2:$F$92,6,FALSE)</f>
        <v>Z1</v>
      </c>
      <c r="G84" s="1"/>
      <c r="H84" s="1"/>
      <c r="I84" s="1"/>
      <c r="J84" s="1"/>
      <c r="K84" s="1"/>
      <c r="L84" s="1"/>
      <c r="M84" s="1"/>
      <c r="N84" s="1" t="s">
        <v>229</v>
      </c>
      <c r="O84" s="1"/>
      <c r="P84" s="1" t="s">
        <v>229</v>
      </c>
      <c r="Q84" s="1" t="s">
        <v>229</v>
      </c>
      <c r="R84" s="1" t="s">
        <v>229</v>
      </c>
      <c r="S84" s="1" t="s">
        <v>229</v>
      </c>
      <c r="T84" s="1"/>
      <c r="U84" s="14" t="s">
        <v>229</v>
      </c>
      <c r="V84" s="14">
        <f t="shared" si="6"/>
        <v>0</v>
      </c>
      <c r="W84" s="5">
        <f t="shared" si="8"/>
        <v>160</v>
      </c>
      <c r="X84" s="40">
        <v>0.060337627314814846</v>
      </c>
      <c r="Y84" s="13">
        <v>14</v>
      </c>
      <c r="AA84" s="7">
        <f t="shared" si="7"/>
        <v>0</v>
      </c>
    </row>
    <row r="85" spans="1:27" ht="15">
      <c r="A85" s="14">
        <v>77</v>
      </c>
      <c r="B85" s="8">
        <v>55</v>
      </c>
      <c r="C85" s="14" t="str">
        <f>VLOOKUP(B85,Startovka!$A$2:$F$92,2,FALSE)</f>
        <v>Bumbalek</v>
      </c>
      <c r="D85" s="14" t="str">
        <f>VLOOKUP(B85,Startovka!$A$2:$F$92,3,FALSE)</f>
        <v>František</v>
      </c>
      <c r="E85" s="14">
        <f>VLOOKUP(B85,Startovka!$A$2:$F$92,4,FALSE)</f>
        <v>0</v>
      </c>
      <c r="F85" s="14" t="str">
        <f>VLOOKUP(B85,Startovka!$A$2:$F$92,6,FALSE)</f>
        <v>M1</v>
      </c>
      <c r="G85" s="1"/>
      <c r="H85" s="1"/>
      <c r="I85" s="1"/>
      <c r="J85" s="1"/>
      <c r="K85" s="1"/>
      <c r="L85" s="1"/>
      <c r="M85" s="1"/>
      <c r="N85" s="1" t="s">
        <v>229</v>
      </c>
      <c r="O85" s="1"/>
      <c r="P85" s="1" t="s">
        <v>229</v>
      </c>
      <c r="Q85" s="1" t="s">
        <v>229</v>
      </c>
      <c r="R85" s="1" t="s">
        <v>229</v>
      </c>
      <c r="S85" s="1" t="s">
        <v>229</v>
      </c>
      <c r="T85" s="1"/>
      <c r="U85" s="14" t="s">
        <v>229</v>
      </c>
      <c r="V85" s="14">
        <f t="shared" si="6"/>
        <v>0</v>
      </c>
      <c r="W85" s="5">
        <f t="shared" si="8"/>
        <v>160</v>
      </c>
      <c r="X85" s="40">
        <v>0.06034436342592596</v>
      </c>
      <c r="Y85" s="13">
        <v>30</v>
      </c>
      <c r="AA85" s="7">
        <f t="shared" si="7"/>
        <v>0</v>
      </c>
    </row>
    <row r="86" spans="1:27" ht="15">
      <c r="A86" s="14">
        <v>78</v>
      </c>
      <c r="B86" s="8">
        <v>45</v>
      </c>
      <c r="C86" s="14" t="str">
        <f>VLOOKUP(B86,Startovka!$A$2:$F$92,2,FALSE)</f>
        <v>Těšínský</v>
      </c>
      <c r="D86" s="14" t="str">
        <f>VLOOKUP(B86,Startovka!$A$2:$F$92,3,FALSE)</f>
        <v>Ondřej</v>
      </c>
      <c r="E86" s="14" t="str">
        <f>VLOOKUP(B86,Startovka!$A$2:$F$92,4,FALSE)</f>
        <v>Praha</v>
      </c>
      <c r="F86" s="14" t="str">
        <f>VLOOKUP(B86,Startovka!$A$2:$F$92,6,FALSE)</f>
        <v>M1</v>
      </c>
      <c r="G86" s="1" t="s">
        <v>229</v>
      </c>
      <c r="H86" s="1" t="s">
        <v>229</v>
      </c>
      <c r="I86" s="1" t="s">
        <v>229</v>
      </c>
      <c r="J86" s="1" t="s">
        <v>229</v>
      </c>
      <c r="K86" s="1" t="s">
        <v>229</v>
      </c>
      <c r="L86" s="1" t="s">
        <v>229</v>
      </c>
      <c r="M86" s="1" t="s">
        <v>229</v>
      </c>
      <c r="N86" s="1"/>
      <c r="O86" s="1"/>
      <c r="P86" s="1"/>
      <c r="Q86" s="1"/>
      <c r="R86" s="1"/>
      <c r="S86" s="1"/>
      <c r="T86" s="1"/>
      <c r="U86" s="14"/>
      <c r="V86" s="14">
        <f t="shared" si="6"/>
        <v>50</v>
      </c>
      <c r="W86" s="5">
        <f t="shared" si="8"/>
        <v>160</v>
      </c>
      <c r="X86" s="40">
        <v>0.06540839120370365</v>
      </c>
      <c r="Y86" s="13">
        <v>31</v>
      </c>
      <c r="AA86" s="7">
        <f t="shared" si="7"/>
        <v>5</v>
      </c>
    </row>
    <row r="87" spans="1:27" ht="15">
      <c r="A87" s="14">
        <v>79</v>
      </c>
      <c r="B87" s="8">
        <v>86</v>
      </c>
      <c r="C87" s="14" t="str">
        <f>VLOOKUP(B87,Startovka!$A$2:$F$92,2,FALSE)</f>
        <v>Novák</v>
      </c>
      <c r="D87" s="14" t="str">
        <f>VLOOKUP(B87,Startovka!$A$2:$F$92,3,FALSE)</f>
        <v>Pavel</v>
      </c>
      <c r="E87" s="14" t="str">
        <f>VLOOKUP(B87,Startovka!$A$2:$F$92,4,FALSE)</f>
        <v>Úvaly</v>
      </c>
      <c r="F87" s="14" t="str">
        <f>VLOOKUP(B87,Startovka!$A$2:$F$92,6,FALSE)</f>
        <v>M1</v>
      </c>
      <c r="G87" s="1"/>
      <c r="H87" s="1"/>
      <c r="I87" s="1"/>
      <c r="J87" s="1"/>
      <c r="K87" s="1"/>
      <c r="L87" s="1" t="s">
        <v>229</v>
      </c>
      <c r="M87" s="1" t="s">
        <v>229</v>
      </c>
      <c r="N87" s="1" t="s">
        <v>229</v>
      </c>
      <c r="O87" s="1" t="s">
        <v>229</v>
      </c>
      <c r="P87" s="1" t="s">
        <v>229</v>
      </c>
      <c r="Q87" s="1" t="s">
        <v>229</v>
      </c>
      <c r="R87" s="1" t="s">
        <v>229</v>
      </c>
      <c r="S87" s="1" t="s">
        <v>229</v>
      </c>
      <c r="T87" s="1" t="s">
        <v>229</v>
      </c>
      <c r="U87" s="14" t="s">
        <v>229</v>
      </c>
      <c r="V87" s="14">
        <f t="shared" si="6"/>
        <v>120</v>
      </c>
      <c r="W87" s="5">
        <f t="shared" si="8"/>
        <v>160</v>
      </c>
      <c r="X87" s="40">
        <v>0.07024944444444442</v>
      </c>
      <c r="Y87" s="13">
        <v>32</v>
      </c>
      <c r="AA87" s="7">
        <f t="shared" si="7"/>
        <v>12</v>
      </c>
    </row>
    <row r="88" spans="1:27" ht="15">
      <c r="A88" s="14">
        <v>80</v>
      </c>
      <c r="B88" s="8">
        <v>42</v>
      </c>
      <c r="C88" s="14" t="str">
        <f>VLOOKUP(B88,Startovka!$A$2:$F$92,2,FALSE)</f>
        <v>Šaršounová</v>
      </c>
      <c r="D88" s="14" t="str">
        <f>VLOOKUP(B88,Startovka!$A$2:$F$92,3,FALSE)</f>
        <v>Zuzana</v>
      </c>
      <c r="E88" s="14" t="str">
        <f>VLOOKUP(B88,Startovka!$A$2:$F$92,4,FALSE)</f>
        <v>Radotín</v>
      </c>
      <c r="F88" s="14" t="str">
        <f>VLOOKUP(B88,Startovka!$A$2:$F$92,6,FALSE)</f>
        <v>Z1</v>
      </c>
      <c r="G88" s="1"/>
      <c r="H88" s="1"/>
      <c r="I88" s="1" t="s">
        <v>229</v>
      </c>
      <c r="J88" s="1"/>
      <c r="K88" s="1"/>
      <c r="L88" s="1" t="s">
        <v>229</v>
      </c>
      <c r="M88" s="1" t="s">
        <v>229</v>
      </c>
      <c r="N88" s="1" t="s">
        <v>229</v>
      </c>
      <c r="O88" s="1" t="s">
        <v>229</v>
      </c>
      <c r="P88" s="1" t="s">
        <v>229</v>
      </c>
      <c r="Q88" s="1"/>
      <c r="R88" s="1"/>
      <c r="S88" s="1"/>
      <c r="T88" s="1"/>
      <c r="U88" s="14"/>
      <c r="V88" s="14">
        <f t="shared" si="6"/>
        <v>0</v>
      </c>
      <c r="W88" s="5">
        <f t="shared" si="8"/>
        <v>150</v>
      </c>
      <c r="X88" s="40">
        <v>0.06000457175925926</v>
      </c>
      <c r="Y88" s="13">
        <v>15</v>
      </c>
      <c r="AA88" s="7">
        <f t="shared" si="7"/>
        <v>0</v>
      </c>
    </row>
    <row r="89" spans="1:27" ht="15">
      <c r="A89" s="14">
        <v>81</v>
      </c>
      <c r="B89" s="8">
        <v>27</v>
      </c>
      <c r="C89" s="14" t="str">
        <f>VLOOKUP(B89,Startovka!$A$2:$F$92,2,FALSE)</f>
        <v>Sedláčková </v>
      </c>
      <c r="D89" s="14" t="str">
        <f>VLOOKUP(B89,Startovka!$A$2:$F$92,3,FALSE)</f>
        <v>Michaela</v>
      </c>
      <c r="E89" s="14" t="str">
        <f>VLOOKUP(B89,Startovka!$A$2:$F$92,4,FALSE)</f>
        <v>Praha 10 Dubeč</v>
      </c>
      <c r="F89" s="14" t="str">
        <f>VLOOKUP(B89,Startovka!$A$2:$F$92,6,FALSE)</f>
        <v>ZA</v>
      </c>
      <c r="G89" s="1"/>
      <c r="H89" s="1"/>
      <c r="I89" s="1"/>
      <c r="J89" s="1" t="s">
        <v>229</v>
      </c>
      <c r="K89" s="1"/>
      <c r="L89" s="1"/>
      <c r="M89" s="1" t="s">
        <v>229</v>
      </c>
      <c r="N89" s="1" t="s">
        <v>229</v>
      </c>
      <c r="O89" s="1"/>
      <c r="P89" s="1" t="s">
        <v>229</v>
      </c>
      <c r="Q89" s="1" t="s">
        <v>229</v>
      </c>
      <c r="R89" s="1"/>
      <c r="S89" s="1"/>
      <c r="T89" s="1"/>
      <c r="U89" s="14" t="s">
        <v>229</v>
      </c>
      <c r="V89" s="14">
        <f t="shared" si="6"/>
        <v>30</v>
      </c>
      <c r="W89" s="5">
        <f t="shared" si="8"/>
        <v>130</v>
      </c>
      <c r="X89" s="40">
        <v>0.06398252314814817</v>
      </c>
      <c r="Y89" s="13">
        <v>7</v>
      </c>
      <c r="AA89" s="7">
        <f t="shared" si="7"/>
        <v>3</v>
      </c>
    </row>
    <row r="90" spans="1:27" ht="15">
      <c r="A90" s="14">
        <v>82</v>
      </c>
      <c r="B90" s="8">
        <v>90</v>
      </c>
      <c r="C90" s="14" t="str">
        <f>VLOOKUP(B90,Startovka!$A$2:$F$92,2,FALSE)</f>
        <v>Popelková</v>
      </c>
      <c r="D90" s="14" t="str">
        <f>VLOOKUP(B90,Startovka!$A$2:$F$92,3,FALSE)</f>
        <v>Daniela</v>
      </c>
      <c r="E90" s="14">
        <f>VLOOKUP(B90,Startovka!$A$2:$F$92,4,FALSE)</f>
        <v>0</v>
      </c>
      <c r="F90" s="14" t="str">
        <f>VLOOKUP(B90,Startovka!$A$2:$F$92,6,FALSE)</f>
        <v>ZA</v>
      </c>
      <c r="G90" s="1"/>
      <c r="H90" s="1"/>
      <c r="I90" s="1" t="s">
        <v>229</v>
      </c>
      <c r="J90" s="1"/>
      <c r="K90" s="1"/>
      <c r="L90" s="1"/>
      <c r="M90" s="1" t="s">
        <v>229</v>
      </c>
      <c r="N90" s="1" t="s">
        <v>229</v>
      </c>
      <c r="O90" s="1" t="s">
        <v>229</v>
      </c>
      <c r="P90" s="1" t="s">
        <v>229</v>
      </c>
      <c r="Q90" s="1"/>
      <c r="R90" s="1"/>
      <c r="S90" s="1"/>
      <c r="T90" s="1"/>
      <c r="U90" s="14"/>
      <c r="V90" s="14">
        <f t="shared" si="6"/>
        <v>0</v>
      </c>
      <c r="W90" s="5">
        <f t="shared" si="8"/>
        <v>110</v>
      </c>
      <c r="X90" s="40">
        <v>0.05903160879629631</v>
      </c>
      <c r="Y90" s="13">
        <v>8</v>
      </c>
      <c r="AA90" s="7">
        <f t="shared" si="7"/>
        <v>0</v>
      </c>
    </row>
    <row r="91" spans="1:27" ht="15">
      <c r="A91" s="14">
        <v>83</v>
      </c>
      <c r="B91" s="8">
        <v>22</v>
      </c>
      <c r="C91" s="14" t="str">
        <f>VLOOKUP(B91,Startovka!$A$2:$F$92,2,FALSE)</f>
        <v>Petr</v>
      </c>
      <c r="D91" s="14" t="str">
        <f>VLOOKUP(B91,Startovka!$A$2:$F$92,3,FALSE)</f>
        <v>Víťa</v>
      </c>
      <c r="E91" s="14" t="str">
        <f>VLOOKUP(B91,Startovka!$A$2:$F$92,4,FALSE)</f>
        <v>SK Frank</v>
      </c>
      <c r="F91" s="14" t="str">
        <f>VLOOKUP(B91,Startovka!$A$2:$F$92,6,FALSE)</f>
        <v>M1</v>
      </c>
      <c r="G91" s="1"/>
      <c r="H91" s="1"/>
      <c r="I91" s="1" t="s">
        <v>229</v>
      </c>
      <c r="J91" s="1"/>
      <c r="K91" s="1"/>
      <c r="L91" s="1"/>
      <c r="M91" s="1"/>
      <c r="N91" s="1"/>
      <c r="O91" s="1"/>
      <c r="P91" s="1" t="s">
        <v>229</v>
      </c>
      <c r="Q91" s="1" t="s">
        <v>229</v>
      </c>
      <c r="R91" s="1" t="s">
        <v>229</v>
      </c>
      <c r="S91" s="1" t="s">
        <v>229</v>
      </c>
      <c r="T91" s="1"/>
      <c r="U91" s="14"/>
      <c r="V91" s="14">
        <f aca="true" t="shared" si="9" ref="V91:V107">IF(X91&lt;=$Z$5,0,10*AA91)</f>
        <v>0</v>
      </c>
      <c r="W91" s="5">
        <f t="shared" si="8"/>
        <v>100</v>
      </c>
      <c r="X91" s="40">
        <v>0.05183461805555557</v>
      </c>
      <c r="Y91" s="13">
        <v>33</v>
      </c>
      <c r="AA91" s="7">
        <f aca="true" t="shared" si="10" ref="AA91:AA108">IF(X91&lt;=$Z$5,0,MINUTE(X91-$Z$5))</f>
        <v>0</v>
      </c>
    </row>
    <row r="92" spans="1:27" ht="15">
      <c r="A92" s="14">
        <v>84</v>
      </c>
      <c r="B92" s="8">
        <v>21</v>
      </c>
      <c r="C92" s="14" t="str">
        <f>VLOOKUP(B92,Startovka!$A$2:$F$92,2,FALSE)</f>
        <v>Frank</v>
      </c>
      <c r="D92" s="14" t="str">
        <f>VLOOKUP(B92,Startovka!$A$2:$F$92,3,FALSE)</f>
        <v>Tomáš</v>
      </c>
      <c r="E92" s="14" t="str">
        <f>VLOOKUP(B92,Startovka!$A$2:$F$92,4,FALSE)</f>
        <v>SK Frank</v>
      </c>
      <c r="F92" s="14" t="str">
        <f>VLOOKUP(B92,Startovka!$A$2:$F$92,6,FALSE)</f>
        <v>M1</v>
      </c>
      <c r="G92" s="1"/>
      <c r="H92" s="1"/>
      <c r="I92" s="1" t="s">
        <v>229</v>
      </c>
      <c r="J92" s="1"/>
      <c r="K92" s="1"/>
      <c r="L92" s="1"/>
      <c r="M92" s="1"/>
      <c r="N92" s="1"/>
      <c r="O92" s="1"/>
      <c r="P92" s="1" t="s">
        <v>229</v>
      </c>
      <c r="Q92" s="1" t="s">
        <v>229</v>
      </c>
      <c r="R92" s="1" t="s">
        <v>229</v>
      </c>
      <c r="S92" s="1" t="s">
        <v>229</v>
      </c>
      <c r="T92" s="1"/>
      <c r="U92" s="14"/>
      <c r="V92" s="14">
        <f t="shared" si="9"/>
        <v>0</v>
      </c>
      <c r="W92" s="5">
        <f t="shared" si="8"/>
        <v>100</v>
      </c>
      <c r="X92" s="40">
        <v>0.051856655092592574</v>
      </c>
      <c r="Y92" s="13">
        <v>34</v>
      </c>
      <c r="AA92" s="7">
        <f t="shared" si="10"/>
        <v>0</v>
      </c>
    </row>
    <row r="93" spans="1:27" ht="15">
      <c r="A93" s="14">
        <v>85</v>
      </c>
      <c r="B93" s="8">
        <v>7</v>
      </c>
      <c r="C93" s="14" t="str">
        <f>VLOOKUP(B93,Startovka!$A$2:$F$92,2,FALSE)</f>
        <v>Bacílek</v>
      </c>
      <c r="D93" s="14" t="str">
        <f>VLOOKUP(B93,Startovka!$A$2:$F$92,3,FALSE)</f>
        <v>Petr</v>
      </c>
      <c r="E93" s="14" t="str">
        <f>VLOOKUP(B93,Startovka!$A$2:$F$92,4,FALSE)</f>
        <v>Černí koně</v>
      </c>
      <c r="F93" s="14" t="str">
        <f>VLOOKUP(B93,Startovka!$A$2:$F$92,6,FALSE)</f>
        <v>M1</v>
      </c>
      <c r="G93" s="1"/>
      <c r="H93" s="1" t="s">
        <v>229</v>
      </c>
      <c r="I93" s="1" t="s">
        <v>229</v>
      </c>
      <c r="J93" s="1" t="s">
        <v>229</v>
      </c>
      <c r="K93" s="1"/>
      <c r="L93" s="1" t="s">
        <v>229</v>
      </c>
      <c r="M93" s="1"/>
      <c r="N93" s="1" t="s">
        <v>229</v>
      </c>
      <c r="O93" s="1" t="s">
        <v>229</v>
      </c>
      <c r="P93" s="1"/>
      <c r="Q93" s="1" t="s">
        <v>229</v>
      </c>
      <c r="R93" s="1"/>
      <c r="S93" s="1"/>
      <c r="T93" s="1"/>
      <c r="U93" s="14" t="s">
        <v>229</v>
      </c>
      <c r="V93" s="14">
        <f t="shared" si="9"/>
        <v>160</v>
      </c>
      <c r="W93" s="5">
        <f t="shared" si="8"/>
        <v>90</v>
      </c>
      <c r="X93" s="40">
        <v>0.073263912037037</v>
      </c>
      <c r="Y93" s="13">
        <v>35</v>
      </c>
      <c r="AA93" s="7">
        <f t="shared" si="10"/>
        <v>16</v>
      </c>
    </row>
    <row r="94" spans="1:27" ht="15">
      <c r="A94" s="14">
        <v>86</v>
      </c>
      <c r="B94" s="8">
        <v>6</v>
      </c>
      <c r="C94" s="14" t="str">
        <f>VLOOKUP(B94,Startovka!$A$2:$F$92,2,FALSE)</f>
        <v>Soliz Rudon</v>
      </c>
      <c r="D94" s="14" t="str">
        <f>VLOOKUP(B94,Startovka!$A$2:$F$92,3,FALSE)</f>
        <v>Veronika</v>
      </c>
      <c r="E94" s="14" t="str">
        <f>VLOOKUP(B94,Startovka!$A$2:$F$92,4,FALSE)</f>
        <v>Černí koně</v>
      </c>
      <c r="F94" s="14" t="str">
        <f>VLOOKUP(B94,Startovka!$A$2:$F$92,6,FALSE)</f>
        <v>Z1</v>
      </c>
      <c r="G94" s="1"/>
      <c r="H94" s="1" t="s">
        <v>229</v>
      </c>
      <c r="I94" s="1" t="s">
        <v>229</v>
      </c>
      <c r="J94" s="1" t="s">
        <v>229</v>
      </c>
      <c r="K94" s="1"/>
      <c r="L94" s="1" t="s">
        <v>229</v>
      </c>
      <c r="M94" s="1"/>
      <c r="N94" s="1" t="s">
        <v>229</v>
      </c>
      <c r="O94" s="1" t="s">
        <v>229</v>
      </c>
      <c r="P94" s="1"/>
      <c r="Q94" s="1" t="s">
        <v>229</v>
      </c>
      <c r="R94" s="1"/>
      <c r="S94" s="1"/>
      <c r="T94" s="1"/>
      <c r="U94" s="14" t="s">
        <v>229</v>
      </c>
      <c r="V94" s="14">
        <f t="shared" si="9"/>
        <v>160</v>
      </c>
      <c r="W94" s="5">
        <f t="shared" si="8"/>
        <v>90</v>
      </c>
      <c r="X94" s="40">
        <v>0.0732726041666667</v>
      </c>
      <c r="Y94" s="13">
        <v>16</v>
      </c>
      <c r="AA94" s="7">
        <f t="shared" si="10"/>
        <v>16</v>
      </c>
    </row>
    <row r="95" spans="1:27" ht="15">
      <c r="A95" s="14">
        <v>87</v>
      </c>
      <c r="B95" s="8">
        <v>9</v>
      </c>
      <c r="C95" s="14" t="str">
        <f>VLOOKUP(B95,Startovka!$A$2:$F$92,2,FALSE)</f>
        <v>Kouba</v>
      </c>
      <c r="D95" s="14" t="str">
        <f>VLOOKUP(B95,Startovka!$A$2:$F$92,3,FALSE)</f>
        <v>martin</v>
      </c>
      <c r="E95" s="14" t="str">
        <f>VLOOKUP(B95,Startovka!$A$2:$F$92,4,FALSE)</f>
        <v>černí koně</v>
      </c>
      <c r="F95" s="14" t="str">
        <f>VLOOKUP(B95,Startovka!$A$2:$F$92,6,FALSE)</f>
        <v>M1</v>
      </c>
      <c r="G95" s="1"/>
      <c r="H95" s="1" t="s">
        <v>229</v>
      </c>
      <c r="I95" s="1" t="s">
        <v>229</v>
      </c>
      <c r="J95" s="1" t="s">
        <v>229</v>
      </c>
      <c r="K95" s="1"/>
      <c r="L95" s="1" t="s">
        <v>229</v>
      </c>
      <c r="M95" s="1"/>
      <c r="N95" s="1" t="s">
        <v>229</v>
      </c>
      <c r="O95" s="1" t="s">
        <v>229</v>
      </c>
      <c r="P95" s="1"/>
      <c r="Q95" s="1" t="s">
        <v>229</v>
      </c>
      <c r="R95" s="1"/>
      <c r="S95" s="1"/>
      <c r="T95" s="1"/>
      <c r="U95" s="14" t="s">
        <v>229</v>
      </c>
      <c r="V95" s="14">
        <f t="shared" si="9"/>
        <v>160</v>
      </c>
      <c r="W95" s="5">
        <f t="shared" si="8"/>
        <v>90</v>
      </c>
      <c r="X95" s="40">
        <v>0.0732980902777778</v>
      </c>
      <c r="Y95" s="13">
        <v>36</v>
      </c>
      <c r="AA95" s="7">
        <f t="shared" si="10"/>
        <v>16</v>
      </c>
    </row>
    <row r="96" spans="1:27" ht="15">
      <c r="A96" s="14">
        <v>88</v>
      </c>
      <c r="B96" s="8">
        <v>5</v>
      </c>
      <c r="C96" s="14" t="str">
        <f>VLOOKUP(B96,Startovka!$A$2:$F$92,2,FALSE)</f>
        <v>Balikova</v>
      </c>
      <c r="D96" s="14" t="str">
        <f>VLOOKUP(B96,Startovka!$A$2:$F$92,3,FALSE)</f>
        <v>Tereza</v>
      </c>
      <c r="E96" s="14" t="str">
        <f>VLOOKUP(B96,Startovka!$A$2:$F$92,4,FALSE)</f>
        <v>cernikoně</v>
      </c>
      <c r="F96" s="14" t="str">
        <f>VLOOKUP(B96,Startovka!$A$2:$F$92,6,FALSE)</f>
        <v>Z0</v>
      </c>
      <c r="G96" s="1"/>
      <c r="H96" s="1" t="s">
        <v>229</v>
      </c>
      <c r="I96" s="1" t="s">
        <v>229</v>
      </c>
      <c r="J96" s="1" t="s">
        <v>229</v>
      </c>
      <c r="K96" s="1"/>
      <c r="L96" s="1" t="s">
        <v>229</v>
      </c>
      <c r="M96" s="1"/>
      <c r="N96" s="1" t="s">
        <v>229</v>
      </c>
      <c r="O96" s="1" t="s">
        <v>229</v>
      </c>
      <c r="P96" s="1"/>
      <c r="Q96" s="1" t="s">
        <v>229</v>
      </c>
      <c r="R96" s="1"/>
      <c r="S96" s="1"/>
      <c r="T96" s="1"/>
      <c r="U96" s="14" t="s">
        <v>229</v>
      </c>
      <c r="V96" s="14">
        <f t="shared" si="9"/>
        <v>160</v>
      </c>
      <c r="W96" s="5">
        <f t="shared" si="8"/>
        <v>90</v>
      </c>
      <c r="X96" s="40">
        <v>0.0733295023148148</v>
      </c>
      <c r="Y96" s="13">
        <v>4</v>
      </c>
      <c r="AA96" s="7">
        <f t="shared" si="10"/>
        <v>16</v>
      </c>
    </row>
    <row r="97" spans="1:27" ht="15">
      <c r="A97" s="14">
        <v>89</v>
      </c>
      <c r="B97" s="8">
        <v>4</v>
      </c>
      <c r="C97" s="14" t="str">
        <f>VLOOKUP(B97,Startovka!$A$2:$F$92,2,FALSE)</f>
        <v>Balik</v>
      </c>
      <c r="D97" s="14" t="str">
        <f>VLOOKUP(B97,Startovka!$A$2:$F$92,3,FALSE)</f>
        <v>Petr</v>
      </c>
      <c r="E97" s="14" t="str">
        <f>VLOOKUP(B97,Startovka!$A$2:$F$92,4,FALSE)</f>
        <v>černikoně</v>
      </c>
      <c r="F97" s="14" t="str">
        <f>VLOOKUP(B97,Startovka!$A$2:$F$92,6,FALSE)</f>
        <v>M2</v>
      </c>
      <c r="G97" s="1"/>
      <c r="H97" s="1" t="s">
        <v>229</v>
      </c>
      <c r="I97" s="1" t="s">
        <v>229</v>
      </c>
      <c r="J97" s="1" t="s">
        <v>229</v>
      </c>
      <c r="K97" s="1"/>
      <c r="L97" s="1" t="s">
        <v>229</v>
      </c>
      <c r="M97" s="1"/>
      <c r="N97" s="1" t="s">
        <v>229</v>
      </c>
      <c r="O97" s="1" t="s">
        <v>229</v>
      </c>
      <c r="P97" s="1"/>
      <c r="Q97" s="1" t="s">
        <v>229</v>
      </c>
      <c r="R97" s="1"/>
      <c r="S97" s="1"/>
      <c r="T97" s="1"/>
      <c r="U97" s="14" t="s">
        <v>229</v>
      </c>
      <c r="V97" s="14">
        <f t="shared" si="9"/>
        <v>160</v>
      </c>
      <c r="W97" s="5">
        <f t="shared" si="8"/>
        <v>90</v>
      </c>
      <c r="X97" s="40">
        <v>0.0733361574074074</v>
      </c>
      <c r="Y97" s="13">
        <v>11</v>
      </c>
      <c r="AA97" s="7">
        <f t="shared" si="10"/>
        <v>16</v>
      </c>
    </row>
    <row r="98" spans="1:27" ht="15">
      <c r="A98" s="14">
        <v>90</v>
      </c>
      <c r="B98" s="8">
        <v>8</v>
      </c>
      <c r="C98" s="1" t="str">
        <f>VLOOKUP(B98,Startovka!$A$2:$F$92,2,FALSE)</f>
        <v>Bacílková</v>
      </c>
      <c r="D98" s="1" t="str">
        <f>VLOOKUP(B98,Startovka!$A$2:$F$92,3,FALSE)</f>
        <v>Lenka</v>
      </c>
      <c r="E98" s="1" t="str">
        <f>VLOOKUP(B98,Startovka!$A$2:$F$92,4,FALSE)</f>
        <v>Úvaly</v>
      </c>
      <c r="F98" s="1" t="str">
        <f>VLOOKUP(B98,Startovka!$A$2:$F$92,6,FALSE)</f>
        <v>Z1</v>
      </c>
      <c r="G98" s="1"/>
      <c r="H98" s="1" t="s">
        <v>229</v>
      </c>
      <c r="I98" s="1" t="s">
        <v>229</v>
      </c>
      <c r="J98" s="1" t="s">
        <v>229</v>
      </c>
      <c r="K98" s="1"/>
      <c r="L98" s="1" t="s">
        <v>229</v>
      </c>
      <c r="M98" s="1"/>
      <c r="N98" s="1" t="s">
        <v>229</v>
      </c>
      <c r="O98" s="1" t="s">
        <v>229</v>
      </c>
      <c r="P98" s="1"/>
      <c r="Q98" s="1" t="s">
        <v>229</v>
      </c>
      <c r="R98" s="1"/>
      <c r="S98" s="1"/>
      <c r="T98" s="1"/>
      <c r="U98" s="1" t="s">
        <v>229</v>
      </c>
      <c r="V98" s="1">
        <f t="shared" si="9"/>
        <v>160</v>
      </c>
      <c r="W98" s="4">
        <f t="shared" si="8"/>
        <v>90</v>
      </c>
      <c r="X98" s="40">
        <v>0.0733404861111111</v>
      </c>
      <c r="Y98" s="13">
        <v>17</v>
      </c>
      <c r="AA98" s="7">
        <f t="shared" si="10"/>
        <v>16</v>
      </c>
    </row>
    <row r="99" spans="1:27" ht="15">
      <c r="A99" s="14">
        <v>91</v>
      </c>
      <c r="B99" s="9">
        <v>68</v>
      </c>
      <c r="C99" s="14" t="str">
        <f>VLOOKUP(B99,Startovka!$A$2:$F$92,2,FALSE)</f>
        <v>Řehák</v>
      </c>
      <c r="D99" s="14" t="str">
        <f>VLOOKUP(B99,Startovka!$A$2:$F$92,3,FALSE)</f>
        <v>Vilém</v>
      </c>
      <c r="E99" s="14" t="str">
        <f>VLOOKUP(B99,Startovka!$A$2:$F$92,4,FALSE)</f>
        <v>AC Saké Kateřinky</v>
      </c>
      <c r="F99" s="14" t="str">
        <f>VLOOKUP(B99,Startovka!$A$2:$F$92,6,FALSE)</f>
        <v>M1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 t="s">
        <v>229</v>
      </c>
      <c r="S99" s="14" t="s">
        <v>229</v>
      </c>
      <c r="T99" s="14" t="s">
        <v>229</v>
      </c>
      <c r="U99" s="14"/>
      <c r="V99" s="14">
        <f t="shared" si="9"/>
        <v>0</v>
      </c>
      <c r="W99" s="5">
        <f t="shared" si="8"/>
        <v>70</v>
      </c>
      <c r="X99" s="40">
        <v>0.05145592592592593</v>
      </c>
      <c r="Y99" s="11">
        <v>37</v>
      </c>
      <c r="AA99" s="7">
        <f t="shared" si="10"/>
        <v>0</v>
      </c>
    </row>
    <row r="100" spans="1:27" ht="15">
      <c r="A100" s="14">
        <v>92</v>
      </c>
      <c r="B100" s="8">
        <v>24</v>
      </c>
      <c r="C100" s="14" t="str">
        <f>VLOOKUP(B100,Startovka!$A$2:$F$92,2,FALSE)</f>
        <v>Schmidt</v>
      </c>
      <c r="D100" s="14" t="str">
        <f>VLOOKUP(B100,Startovka!$A$2:$F$92,3,FALSE)</f>
        <v>milan</v>
      </c>
      <c r="E100" s="14" t="str">
        <f>VLOOKUP(B100,Startovka!$A$2:$F$92,4,FALSE)</f>
        <v>Karlovy Vary</v>
      </c>
      <c r="F100" s="14" t="str">
        <f>VLOOKUP(B100,Startovka!$A$2:$F$92,6,FALSE)</f>
        <v>M2</v>
      </c>
      <c r="G100" s="1"/>
      <c r="H100" s="1"/>
      <c r="I100" s="1" t="s">
        <v>229</v>
      </c>
      <c r="J100" s="1"/>
      <c r="K100" s="1"/>
      <c r="L100" s="1"/>
      <c r="M100" s="1"/>
      <c r="N100" s="1"/>
      <c r="O100" s="1"/>
      <c r="P100" s="1"/>
      <c r="Q100" s="1"/>
      <c r="R100" s="1" t="s">
        <v>229</v>
      </c>
      <c r="S100" s="1" t="s">
        <v>229</v>
      </c>
      <c r="T100" s="1"/>
      <c r="U100" s="14"/>
      <c r="V100" s="14">
        <f t="shared" si="9"/>
        <v>0</v>
      </c>
      <c r="W100" s="5">
        <f t="shared" si="8"/>
        <v>50</v>
      </c>
      <c r="X100" s="40">
        <v>0.051890601851851875</v>
      </c>
      <c r="Y100" s="13">
        <v>12</v>
      </c>
      <c r="AA100" s="7">
        <f t="shared" si="10"/>
        <v>0</v>
      </c>
    </row>
    <row r="101" spans="1:27" ht="15">
      <c r="A101" s="14">
        <v>93</v>
      </c>
      <c r="B101" s="8">
        <v>99</v>
      </c>
      <c r="C101" s="14" t="str">
        <f>VLOOKUP(B101,Startovka!$A$2:$F$104,2,FALSE)</f>
        <v>Vyhnálková</v>
      </c>
      <c r="D101" s="14" t="str">
        <f>VLOOKUP(B101,Startovka!$A$2:$F$104,3,FALSE)</f>
        <v>Marie</v>
      </c>
      <c r="E101" s="14" t="str">
        <f>VLOOKUP(B101,Startovka!$A$2:$F$104,4,FALSE)</f>
        <v>Říčany</v>
      </c>
      <c r="F101" s="14" t="str">
        <f>VLOOKUP(B101,Startovka!$A$2:$F$104,6,FALSE)</f>
        <v>Z0</v>
      </c>
      <c r="G101" s="1"/>
      <c r="H101" s="1"/>
      <c r="I101" s="1"/>
      <c r="J101" s="1"/>
      <c r="K101" s="1"/>
      <c r="L101" s="1"/>
      <c r="M101" s="1"/>
      <c r="N101" s="1" t="s">
        <v>229</v>
      </c>
      <c r="O101" s="1"/>
      <c r="P101" s="1" t="s">
        <v>229</v>
      </c>
      <c r="Q101" s="1"/>
      <c r="R101" s="1"/>
      <c r="S101" s="1"/>
      <c r="T101" s="1"/>
      <c r="U101" s="14"/>
      <c r="V101" s="14">
        <f t="shared" si="9"/>
        <v>0</v>
      </c>
      <c r="W101" s="5">
        <f t="shared" si="8"/>
        <v>50</v>
      </c>
      <c r="X101" s="40">
        <v>0.05981162037037042</v>
      </c>
      <c r="Y101" s="13">
        <v>5</v>
      </c>
      <c r="AA101" s="7">
        <f t="shared" si="10"/>
        <v>0</v>
      </c>
    </row>
    <row r="102" spans="1:27" ht="15">
      <c r="A102" s="14">
        <v>94</v>
      </c>
      <c r="B102" s="8">
        <v>60</v>
      </c>
      <c r="C102" s="14" t="str">
        <f>VLOOKUP(B102,Startovka!$A$2:$F$92,2,FALSE)</f>
        <v>Šedivý</v>
      </c>
      <c r="D102" s="14" t="str">
        <f>VLOOKUP(B102,Startovka!$A$2:$F$92,3,FALSE)</f>
        <v>Pavel</v>
      </c>
      <c r="E102" s="14" t="str">
        <f>VLOOKUP(B102,Startovka!$A$2:$F$92,4,FALSE)</f>
        <v>-/praha/bohužel žádný</v>
      </c>
      <c r="F102" s="14" t="str">
        <f>VLOOKUP(B102,Startovka!$A$2:$F$92,6,FALSE)</f>
        <v>M0</v>
      </c>
      <c r="G102" s="1" t="s">
        <v>229</v>
      </c>
      <c r="H102" s="1"/>
      <c r="I102" s="1" t="s">
        <v>229</v>
      </c>
      <c r="J102" s="1"/>
      <c r="K102" s="1"/>
      <c r="L102" s="1"/>
      <c r="M102" s="1" t="s">
        <v>229</v>
      </c>
      <c r="N102" s="1"/>
      <c r="O102" s="1"/>
      <c r="P102" s="1" t="s">
        <v>229</v>
      </c>
      <c r="Q102" s="1"/>
      <c r="R102" s="1"/>
      <c r="S102" s="1"/>
      <c r="T102" s="1"/>
      <c r="U102" s="14"/>
      <c r="V102" s="14">
        <f t="shared" si="9"/>
        <v>40</v>
      </c>
      <c r="W102" s="5">
        <f t="shared" si="8"/>
        <v>30</v>
      </c>
      <c r="X102" s="40">
        <v>0.06473131944444445</v>
      </c>
      <c r="Y102" s="13">
        <v>4</v>
      </c>
      <c r="AA102" s="7">
        <f t="shared" si="10"/>
        <v>4</v>
      </c>
    </row>
    <row r="103" spans="1:27" ht="15">
      <c r="A103" s="14">
        <v>95</v>
      </c>
      <c r="B103" s="8">
        <v>23</v>
      </c>
      <c r="C103" s="14" t="str">
        <f>VLOOKUP(B103,Startovka!$A$2:$F$92,2,FALSE)</f>
        <v>Schmidt</v>
      </c>
      <c r="D103" s="14" t="str">
        <f>VLOOKUP(B103,Startovka!$A$2:$F$92,3,FALSE)</f>
        <v>werner</v>
      </c>
      <c r="E103" s="14" t="str">
        <f>VLOOKUP(B103,Startovka!$A$2:$F$92,4,FALSE)</f>
        <v>plzen</v>
      </c>
      <c r="F103" s="14" t="str">
        <f>VLOOKUP(B103,Startovka!$A$2:$F$92,6,FALSE)</f>
        <v>M2</v>
      </c>
      <c r="G103" s="1"/>
      <c r="H103" s="1"/>
      <c r="I103" s="1"/>
      <c r="J103" s="1"/>
      <c r="K103" s="1"/>
      <c r="L103" s="1"/>
      <c r="M103" s="1" t="s">
        <v>229</v>
      </c>
      <c r="N103" s="1"/>
      <c r="O103" s="1"/>
      <c r="P103" s="1" t="s">
        <v>229</v>
      </c>
      <c r="Q103" s="1" t="s">
        <v>229</v>
      </c>
      <c r="R103" s="1"/>
      <c r="S103" s="1"/>
      <c r="T103" s="1"/>
      <c r="U103" s="14" t="s">
        <v>229</v>
      </c>
      <c r="V103" s="14">
        <f t="shared" si="9"/>
        <v>130</v>
      </c>
      <c r="W103" s="5">
        <v>0</v>
      </c>
      <c r="X103" s="40">
        <v>0.07130788194444447</v>
      </c>
      <c r="Y103" s="13">
        <v>13</v>
      </c>
      <c r="AA103" s="7">
        <f t="shared" si="10"/>
        <v>13</v>
      </c>
    </row>
    <row r="104" spans="1:27" ht="15">
      <c r="A104" s="14">
        <v>96</v>
      </c>
      <c r="B104" s="8">
        <v>92</v>
      </c>
      <c r="C104" s="14" t="str">
        <f>VLOOKUP(B104,Startovka!$A$2:$F$104,2,FALSE)</f>
        <v>Kubát</v>
      </c>
      <c r="D104" s="14" t="str">
        <f>VLOOKUP(B104,Startovka!$A$2:$F$104,3,FALSE)</f>
        <v>Miroslav</v>
      </c>
      <c r="E104" s="14" t="str">
        <f>VLOOKUP(B104,Startovka!$A$2:$F$104,4,FALSE)</f>
        <v>Úvaly</v>
      </c>
      <c r="F104" s="14" t="str">
        <f>VLOOKUP(B104,Startovka!$A$2:$F$104,6,FALSE)</f>
        <v>M2</v>
      </c>
      <c r="G104" s="1"/>
      <c r="H104" s="1" t="s">
        <v>229</v>
      </c>
      <c r="I104" s="1" t="s">
        <v>229</v>
      </c>
      <c r="J104" s="1" t="s">
        <v>229</v>
      </c>
      <c r="K104" s="1"/>
      <c r="L104" s="1"/>
      <c r="M104" s="1" t="s">
        <v>229</v>
      </c>
      <c r="N104" s="1"/>
      <c r="O104" s="1"/>
      <c r="P104" s="1"/>
      <c r="Q104" s="1"/>
      <c r="R104" s="1"/>
      <c r="S104" s="1"/>
      <c r="T104" s="1"/>
      <c r="U104" s="14"/>
      <c r="V104" s="14">
        <f t="shared" si="9"/>
        <v>170</v>
      </c>
      <c r="W104" s="5">
        <v>0</v>
      </c>
      <c r="X104" s="40">
        <v>0.07378129629629632</v>
      </c>
      <c r="Y104" s="13">
        <v>14</v>
      </c>
      <c r="AA104" s="7">
        <f t="shared" si="10"/>
        <v>17</v>
      </c>
    </row>
    <row r="105" spans="1:27" ht="15">
      <c r="A105" s="14">
        <v>97</v>
      </c>
      <c r="B105" s="8">
        <v>73</v>
      </c>
      <c r="C105" s="14" t="str">
        <f>VLOOKUP(B105,Startovka!$A$2:$F$92,2,FALSE)</f>
        <v>Holovský</v>
      </c>
      <c r="D105" s="14" t="str">
        <f>VLOOKUP(B105,Startovka!$A$2:$F$92,3,FALSE)</f>
        <v>Jakub</v>
      </c>
      <c r="E105" s="14" t="str">
        <f>VLOOKUP(B105,Startovka!$A$2:$F$92,4,FALSE)</f>
        <v>Hradec Králové</v>
      </c>
      <c r="F105" s="14" t="str">
        <f>VLOOKUP(B105,Startovka!$A$2:$F$92,6,FALSE)</f>
        <v>M1</v>
      </c>
      <c r="G105" s="1"/>
      <c r="H105" s="1"/>
      <c r="I105" s="1" t="s">
        <v>229</v>
      </c>
      <c r="J105" s="1" t="s">
        <v>229</v>
      </c>
      <c r="K105" s="1"/>
      <c r="L105" s="1"/>
      <c r="M105" s="1" t="s">
        <v>229</v>
      </c>
      <c r="N105" s="1"/>
      <c r="O105" s="1"/>
      <c r="P105" s="1"/>
      <c r="Q105" s="1"/>
      <c r="R105" s="1"/>
      <c r="S105" s="1"/>
      <c r="T105" s="1"/>
      <c r="U105" s="14"/>
      <c r="V105" s="14">
        <f t="shared" si="9"/>
        <v>220</v>
      </c>
      <c r="W105" s="5">
        <v>0</v>
      </c>
      <c r="X105" s="40">
        <v>0.07724868055555553</v>
      </c>
      <c r="Y105" s="13">
        <v>38</v>
      </c>
      <c r="AA105" s="7">
        <f t="shared" si="10"/>
        <v>22</v>
      </c>
    </row>
    <row r="106" spans="1:27" ht="15">
      <c r="A106" s="14">
        <v>98</v>
      </c>
      <c r="B106" s="8">
        <v>101</v>
      </c>
      <c r="C106" s="1" t="str">
        <f>VLOOKUP(B106,Startovka!$A$2:$F$104,2,FALSE)</f>
        <v>Hladký</v>
      </c>
      <c r="D106" s="1" t="str">
        <f>VLOOKUP(B106,Startovka!$A$2:$F$104,3,FALSE)</f>
        <v>Lubo </v>
      </c>
      <c r="E106" s="1">
        <f>VLOOKUP(B106,Startovka!$A$2:$F$104,4,FALSE)</f>
        <v>0</v>
      </c>
      <c r="F106" s="1" t="str">
        <f>VLOOKUP(B106,Startovka!$A$2:$F$104,6,FALSE)</f>
        <v>MA</v>
      </c>
      <c r="G106" s="1"/>
      <c r="H106" s="1" t="s">
        <v>229</v>
      </c>
      <c r="I106" s="1" t="s">
        <v>229</v>
      </c>
      <c r="J106" s="1" t="s">
        <v>229</v>
      </c>
      <c r="K106" s="1" t="s">
        <v>229</v>
      </c>
      <c r="L106" s="1" t="s">
        <v>229</v>
      </c>
      <c r="M106" s="1"/>
      <c r="N106" s="1" t="s">
        <v>229</v>
      </c>
      <c r="O106" s="1" t="s">
        <v>229</v>
      </c>
      <c r="P106" s="1"/>
      <c r="Q106" s="1" t="s">
        <v>229</v>
      </c>
      <c r="R106" s="1"/>
      <c r="S106" s="1"/>
      <c r="T106" s="1"/>
      <c r="U106" s="1" t="s">
        <v>229</v>
      </c>
      <c r="V106" s="1">
        <f t="shared" si="9"/>
        <v>350</v>
      </c>
      <c r="W106" s="4">
        <v>0</v>
      </c>
      <c r="X106" s="40">
        <v>0.08618899305555511</v>
      </c>
      <c r="Y106" s="13">
        <v>12</v>
      </c>
      <c r="AA106" s="7">
        <f t="shared" si="10"/>
        <v>35</v>
      </c>
    </row>
    <row r="107" spans="1:27" ht="15">
      <c r="A107" s="14">
        <v>99</v>
      </c>
      <c r="B107" s="8">
        <v>97</v>
      </c>
      <c r="C107" s="1" t="str">
        <f>VLOOKUP(B107,Startovka!$A$2:$F$104,2,FALSE)</f>
        <v>Orinič</v>
      </c>
      <c r="D107" s="1" t="str">
        <f>VLOOKUP(B107,Startovka!$A$2:$F$104,3,FALSE)</f>
        <v>Milan</v>
      </c>
      <c r="E107" s="1" t="str">
        <f>VLOOKUP(B107,Startovka!$A$2:$F$104,4,FALSE)</f>
        <v>Uhříněves</v>
      </c>
      <c r="F107" s="1" t="str">
        <f>VLOOKUP(B107,Startovka!$A$2:$F$104,6,FALSE)</f>
        <v>M1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229</v>
      </c>
      <c r="R107" s="1"/>
      <c r="S107" s="1"/>
      <c r="T107" s="1"/>
      <c r="U107" s="1"/>
      <c r="V107" s="1">
        <f t="shared" si="9"/>
        <v>290</v>
      </c>
      <c r="W107" s="4">
        <v>0</v>
      </c>
      <c r="X107" s="40">
        <v>0.12361111111111112</v>
      </c>
      <c r="Y107" s="13">
        <v>39</v>
      </c>
      <c r="AA107" s="7">
        <f t="shared" si="10"/>
        <v>29</v>
      </c>
    </row>
    <row r="108" spans="1:27" ht="15">
      <c r="A108" s="14">
        <v>101</v>
      </c>
      <c r="B108" s="8">
        <v>66</v>
      </c>
      <c r="C108" s="1" t="str">
        <f>VLOOKUP(B108,Startovka!$A$2:$F$92,2,FALSE)</f>
        <v>Němeček</v>
      </c>
      <c r="D108" s="1" t="str">
        <f>VLOOKUP(B108,Startovka!$A$2:$F$92,3,FALSE)</f>
        <v>Jan</v>
      </c>
      <c r="E108" s="1" t="str">
        <f>VLOOKUP(B108,Startovka!$A$2:$F$92,4,FALSE)</f>
        <v>USK Praha</v>
      </c>
      <c r="F108" s="1" t="str">
        <f>VLOOKUP(B108,Startovka!$A$2:$F$92,6,FALSE)</f>
        <v>M2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 t="s">
        <v>230</v>
      </c>
      <c r="W108" s="4">
        <v>0</v>
      </c>
      <c r="X108" s="40" t="s">
        <v>230</v>
      </c>
      <c r="Y108" s="13" t="s">
        <v>230</v>
      </c>
      <c r="AA108" s="7" t="e">
        <f t="shared" si="10"/>
        <v>#VALUE!</v>
      </c>
    </row>
    <row r="109" ht="15">
      <c r="Y109" s="10"/>
    </row>
  </sheetData>
  <sheetProtection/>
  <autoFilter ref="A6:AA108">
    <sortState ref="A7:AA109">
      <sortCondition descending="1" sortBy="value" ref="W7:W109"/>
    </sortState>
  </autoFilter>
  <mergeCells count="13">
    <mergeCell ref="D6:D7"/>
    <mergeCell ref="Y6:Y7"/>
    <mergeCell ref="X6:X7"/>
    <mergeCell ref="C1:V3"/>
    <mergeCell ref="G5:T5"/>
    <mergeCell ref="V6:V7"/>
    <mergeCell ref="F6:F7"/>
    <mergeCell ref="AA6:AA7"/>
    <mergeCell ref="A6:A7"/>
    <mergeCell ref="B6:B7"/>
    <mergeCell ref="C6:C7"/>
    <mergeCell ref="E6:E7"/>
    <mergeCell ref="W6:W7"/>
  </mergeCells>
  <printOptions/>
  <pageMargins left="0.25" right="0.25" top="0.75" bottom="0.75" header="0.3" footer="0.3"/>
  <pageSetup fitToHeight="3" fitToWidth="1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D93" sqref="D93"/>
    </sheetView>
  </sheetViews>
  <sheetFormatPr defaultColWidth="9.140625" defaultRowHeight="15"/>
  <cols>
    <col min="1" max="1" width="9.140625" style="7" customWidth="1"/>
    <col min="2" max="2" width="9.7109375" style="0" bestFit="1" customWidth="1"/>
    <col min="3" max="3" width="11.00390625" style="0" bestFit="1" customWidth="1"/>
    <col min="4" max="4" width="27.421875" style="0" customWidth="1"/>
    <col min="5" max="5" width="15.57421875" style="28" bestFit="1" customWidth="1"/>
    <col min="6" max="6" width="9.8515625" style="30" bestFit="1" customWidth="1"/>
    <col min="7" max="7" width="27.140625" style="0" bestFit="1" customWidth="1"/>
    <col min="8" max="8" width="11.8515625" style="0" bestFit="1" customWidth="1"/>
  </cols>
  <sheetData>
    <row r="1" spans="1:9" ht="15">
      <c r="A1" s="17" t="s">
        <v>15</v>
      </c>
      <c r="B1" s="18" t="s">
        <v>11</v>
      </c>
      <c r="C1" s="18" t="s">
        <v>10</v>
      </c>
      <c r="D1" s="18" t="s">
        <v>1</v>
      </c>
      <c r="E1" s="25" t="s">
        <v>12</v>
      </c>
      <c r="F1" s="29" t="s">
        <v>13</v>
      </c>
      <c r="G1" s="18" t="s">
        <v>14</v>
      </c>
      <c r="H1" s="16" t="s">
        <v>7</v>
      </c>
      <c r="I1" s="16" t="s">
        <v>231</v>
      </c>
    </row>
    <row r="2" spans="1:9" ht="15">
      <c r="A2" s="35">
        <v>1</v>
      </c>
      <c r="B2" s="35" t="s">
        <v>18</v>
      </c>
      <c r="C2" s="35" t="s">
        <v>19</v>
      </c>
      <c r="D2" s="35" t="s">
        <v>20</v>
      </c>
      <c r="E2" s="23"/>
      <c r="F2" s="35" t="s">
        <v>21</v>
      </c>
      <c r="G2" s="20"/>
      <c r="H2" s="37">
        <v>0.0594408680555556</v>
      </c>
      <c r="I2">
        <v>1</v>
      </c>
    </row>
    <row r="3" spans="1:9" ht="15">
      <c r="A3" s="35">
        <v>2</v>
      </c>
      <c r="B3" s="35" t="s">
        <v>22</v>
      </c>
      <c r="C3" s="35" t="s">
        <v>23</v>
      </c>
      <c r="D3" s="34"/>
      <c r="E3" s="24"/>
      <c r="F3" s="35" t="s">
        <v>24</v>
      </c>
      <c r="G3" s="20"/>
      <c r="H3" s="37">
        <v>0.0611872106481481</v>
      </c>
      <c r="I3">
        <v>2</v>
      </c>
    </row>
    <row r="4" spans="1:9" ht="15">
      <c r="A4" s="35">
        <v>3</v>
      </c>
      <c r="B4" s="35" t="s">
        <v>25</v>
      </c>
      <c r="C4" s="35" t="s">
        <v>26</v>
      </c>
      <c r="D4" s="35" t="s">
        <v>27</v>
      </c>
      <c r="E4" s="24"/>
      <c r="F4" s="35" t="s">
        <v>28</v>
      </c>
      <c r="G4" s="20"/>
      <c r="H4" s="37">
        <v>0.0611575810185185</v>
      </c>
      <c r="I4">
        <v>3</v>
      </c>
    </row>
    <row r="5" spans="1:9" ht="15">
      <c r="A5" s="35">
        <v>4</v>
      </c>
      <c r="B5" s="35" t="s">
        <v>29</v>
      </c>
      <c r="C5" s="35" t="s">
        <v>30</v>
      </c>
      <c r="D5" s="35" t="s">
        <v>31</v>
      </c>
      <c r="E5" s="23"/>
      <c r="F5" s="35" t="s">
        <v>24</v>
      </c>
      <c r="G5" s="20"/>
      <c r="H5" s="37">
        <v>0.0733361574074074</v>
      </c>
      <c r="I5" s="38">
        <v>4</v>
      </c>
    </row>
    <row r="6" spans="1:9" ht="15">
      <c r="A6" s="35">
        <v>5</v>
      </c>
      <c r="B6" s="35" t="s">
        <v>32</v>
      </c>
      <c r="C6" s="35" t="s">
        <v>33</v>
      </c>
      <c r="D6" s="35" t="s">
        <v>34</v>
      </c>
      <c r="E6" s="24"/>
      <c r="F6" s="35" t="s">
        <v>35</v>
      </c>
      <c r="G6" s="21"/>
      <c r="H6" s="37">
        <v>0.0733295023148148</v>
      </c>
      <c r="I6" s="38">
        <v>5</v>
      </c>
    </row>
    <row r="7" spans="1:9" ht="15">
      <c r="A7" s="35">
        <v>6</v>
      </c>
      <c r="B7" s="35" t="s">
        <v>36</v>
      </c>
      <c r="C7" s="35" t="s">
        <v>37</v>
      </c>
      <c r="D7" s="35" t="s">
        <v>38</v>
      </c>
      <c r="E7" s="24"/>
      <c r="F7" s="35" t="s">
        <v>39</v>
      </c>
      <c r="G7" s="21"/>
      <c r="H7" s="37">
        <v>0.0732726041666667</v>
      </c>
      <c r="I7" s="38">
        <v>6</v>
      </c>
    </row>
    <row r="8" spans="1:9" ht="15">
      <c r="A8" s="35">
        <v>7</v>
      </c>
      <c r="B8" s="35" t="s">
        <v>40</v>
      </c>
      <c r="C8" s="35" t="s">
        <v>30</v>
      </c>
      <c r="D8" s="35" t="s">
        <v>38</v>
      </c>
      <c r="E8" s="24"/>
      <c r="F8" s="35" t="s">
        <v>21</v>
      </c>
      <c r="G8" s="19"/>
      <c r="H8" s="37">
        <v>0.073263912037037</v>
      </c>
      <c r="I8" s="38">
        <v>7</v>
      </c>
    </row>
    <row r="9" spans="1:9" ht="15">
      <c r="A9" s="36">
        <v>8</v>
      </c>
      <c r="B9" s="35" t="s">
        <v>41</v>
      </c>
      <c r="C9" s="35" t="s">
        <v>42</v>
      </c>
      <c r="D9" s="35" t="s">
        <v>43</v>
      </c>
      <c r="E9" s="23"/>
      <c r="F9" s="35" t="s">
        <v>39</v>
      </c>
      <c r="G9" s="19"/>
      <c r="H9" s="37">
        <v>0.0733404861111111</v>
      </c>
      <c r="I9" s="38">
        <v>8</v>
      </c>
    </row>
    <row r="10" spans="1:9" ht="15">
      <c r="A10" s="35">
        <v>9</v>
      </c>
      <c r="B10" s="35" t="s">
        <v>44</v>
      </c>
      <c r="C10" s="35" t="s">
        <v>45</v>
      </c>
      <c r="D10" s="35" t="s">
        <v>46</v>
      </c>
      <c r="E10" s="24"/>
      <c r="F10" s="35" t="s">
        <v>21</v>
      </c>
      <c r="G10" s="20"/>
      <c r="H10" s="37">
        <v>0.0732980902777778</v>
      </c>
      <c r="I10" s="38">
        <v>9</v>
      </c>
    </row>
    <row r="11" spans="1:9" ht="15">
      <c r="A11" s="35">
        <v>10</v>
      </c>
      <c r="B11" s="35" t="s">
        <v>47</v>
      </c>
      <c r="C11" s="35" t="s">
        <v>48</v>
      </c>
      <c r="D11" s="35" t="s">
        <v>49</v>
      </c>
      <c r="E11" s="24"/>
      <c r="F11" s="35" t="s">
        <v>39</v>
      </c>
      <c r="G11" s="20"/>
      <c r="H11" s="37">
        <v>0.0613905092592593</v>
      </c>
      <c r="I11">
        <v>10</v>
      </c>
    </row>
    <row r="12" spans="1:9" ht="15">
      <c r="A12" s="35">
        <v>11</v>
      </c>
      <c r="B12" s="35" t="s">
        <v>50</v>
      </c>
      <c r="C12" s="35" t="s">
        <v>51</v>
      </c>
      <c r="D12" s="35" t="s">
        <v>52</v>
      </c>
      <c r="E12" s="23"/>
      <c r="F12" s="35" t="s">
        <v>21</v>
      </c>
      <c r="G12" s="20"/>
      <c r="H12" s="37">
        <v>0.0483048842592593</v>
      </c>
      <c r="I12">
        <v>11</v>
      </c>
    </row>
    <row r="13" spans="1:9" ht="15">
      <c r="A13" s="35">
        <v>12</v>
      </c>
      <c r="B13" s="35" t="s">
        <v>53</v>
      </c>
      <c r="C13" s="35" t="s">
        <v>48</v>
      </c>
      <c r="D13" s="35" t="s">
        <v>54</v>
      </c>
      <c r="E13" s="23"/>
      <c r="F13" s="35" t="s">
        <v>35</v>
      </c>
      <c r="G13" s="20"/>
      <c r="H13" s="37">
        <v>0.0603431597222222</v>
      </c>
      <c r="I13">
        <v>12</v>
      </c>
    </row>
    <row r="14" spans="1:9" ht="15">
      <c r="A14" s="35">
        <v>13</v>
      </c>
      <c r="B14" s="35" t="s">
        <v>53</v>
      </c>
      <c r="C14" s="35" t="s">
        <v>55</v>
      </c>
      <c r="D14" s="35" t="s">
        <v>54</v>
      </c>
      <c r="E14" s="23"/>
      <c r="F14" s="35" t="s">
        <v>56</v>
      </c>
      <c r="G14" s="19"/>
      <c r="H14" s="37">
        <v>0.0608773611111111</v>
      </c>
      <c r="I14">
        <v>13</v>
      </c>
    </row>
    <row r="15" spans="1:9" ht="15">
      <c r="A15" s="35">
        <v>14</v>
      </c>
      <c r="B15" s="35" t="s">
        <v>53</v>
      </c>
      <c r="C15" s="35" t="s">
        <v>57</v>
      </c>
      <c r="D15" s="35" t="s">
        <v>54</v>
      </c>
      <c r="E15" s="24"/>
      <c r="F15" s="35" t="s">
        <v>35</v>
      </c>
      <c r="G15" s="20"/>
      <c r="H15" s="37">
        <v>0.0602876851851852</v>
      </c>
      <c r="I15">
        <v>14</v>
      </c>
    </row>
    <row r="16" spans="1:9" ht="15">
      <c r="A16" s="35">
        <v>15</v>
      </c>
      <c r="B16" s="35" t="s">
        <v>58</v>
      </c>
      <c r="C16" s="35" t="s">
        <v>59</v>
      </c>
      <c r="D16" s="35" t="s">
        <v>60</v>
      </c>
      <c r="E16" s="23"/>
      <c r="F16" s="35" t="s">
        <v>24</v>
      </c>
      <c r="G16" s="19"/>
      <c r="H16" s="37">
        <v>0.0649774537037037</v>
      </c>
      <c r="I16" s="38">
        <v>15</v>
      </c>
    </row>
    <row r="17" spans="1:9" ht="15">
      <c r="A17" s="35">
        <v>16</v>
      </c>
      <c r="B17" s="35" t="s">
        <v>61</v>
      </c>
      <c r="C17" s="35" t="s">
        <v>62</v>
      </c>
      <c r="D17" s="35" t="s">
        <v>63</v>
      </c>
      <c r="E17" s="23"/>
      <c r="F17" s="35" t="s">
        <v>28</v>
      </c>
      <c r="G17" s="21"/>
      <c r="H17" s="37">
        <v>0.0600159259259259</v>
      </c>
      <c r="I17">
        <v>16</v>
      </c>
    </row>
    <row r="18" spans="1:9" ht="15">
      <c r="A18" s="35">
        <v>17</v>
      </c>
      <c r="B18" s="35" t="s">
        <v>64</v>
      </c>
      <c r="C18" s="35" t="s">
        <v>65</v>
      </c>
      <c r="D18" s="35" t="s">
        <v>66</v>
      </c>
      <c r="E18" s="23"/>
      <c r="F18" s="35" t="s">
        <v>67</v>
      </c>
      <c r="G18" s="20"/>
      <c r="H18" s="37">
        <v>0.0602934375</v>
      </c>
      <c r="I18">
        <v>17</v>
      </c>
    </row>
    <row r="19" spans="1:9" ht="15">
      <c r="A19" s="35">
        <v>18</v>
      </c>
      <c r="B19" s="35" t="s">
        <v>68</v>
      </c>
      <c r="C19" s="35" t="s">
        <v>42</v>
      </c>
      <c r="D19" s="35" t="s">
        <v>69</v>
      </c>
      <c r="E19" s="23"/>
      <c r="F19" s="35" t="s">
        <v>56</v>
      </c>
      <c r="G19" s="20"/>
      <c r="H19" s="37">
        <v>0.0644325462962963</v>
      </c>
      <c r="I19" s="38">
        <v>18</v>
      </c>
    </row>
    <row r="20" spans="1:9" ht="15">
      <c r="A20" s="35">
        <v>19</v>
      </c>
      <c r="B20" s="35" t="s">
        <v>70</v>
      </c>
      <c r="C20" s="35" t="s">
        <v>71</v>
      </c>
      <c r="D20" s="35" t="s">
        <v>72</v>
      </c>
      <c r="E20" s="23"/>
      <c r="F20" s="35" t="s">
        <v>21</v>
      </c>
      <c r="G20" s="20"/>
      <c r="H20" s="37">
        <v>0.0596176736111111</v>
      </c>
      <c r="I20">
        <v>19</v>
      </c>
    </row>
    <row r="21" spans="1:9" ht="15">
      <c r="A21" s="35">
        <v>20</v>
      </c>
      <c r="B21" s="35" t="s">
        <v>73</v>
      </c>
      <c r="C21" s="35" t="s">
        <v>74</v>
      </c>
      <c r="D21" s="35" t="s">
        <v>72</v>
      </c>
      <c r="E21" s="24"/>
      <c r="F21" s="35" t="s">
        <v>39</v>
      </c>
      <c r="G21" s="21"/>
      <c r="H21" s="37">
        <v>0.0596075115740741</v>
      </c>
      <c r="I21">
        <v>20</v>
      </c>
    </row>
    <row r="22" spans="1:9" ht="15">
      <c r="A22" s="35">
        <v>21</v>
      </c>
      <c r="B22" s="35" t="s">
        <v>75</v>
      </c>
      <c r="C22" s="35" t="s">
        <v>22</v>
      </c>
      <c r="D22" s="35" t="s">
        <v>76</v>
      </c>
      <c r="E22" s="23"/>
      <c r="F22" s="35" t="s">
        <v>21</v>
      </c>
      <c r="G22" s="20"/>
      <c r="H22" s="37">
        <v>0.051856655092592574</v>
      </c>
      <c r="I22">
        <v>21</v>
      </c>
    </row>
    <row r="23" spans="1:9" ht="15">
      <c r="A23" s="35">
        <v>22</v>
      </c>
      <c r="B23" s="35" t="s">
        <v>30</v>
      </c>
      <c r="C23" s="35" t="s">
        <v>77</v>
      </c>
      <c r="D23" s="35" t="s">
        <v>76</v>
      </c>
      <c r="E23" s="24"/>
      <c r="F23" s="35" t="s">
        <v>21</v>
      </c>
      <c r="G23" s="20"/>
      <c r="H23" s="37">
        <v>0.05183461805555557</v>
      </c>
      <c r="I23">
        <v>22</v>
      </c>
    </row>
    <row r="24" spans="1:9" ht="15">
      <c r="A24" s="35">
        <v>23</v>
      </c>
      <c r="B24" s="35" t="s">
        <v>78</v>
      </c>
      <c r="C24" s="35" t="s">
        <v>79</v>
      </c>
      <c r="D24" s="35" t="s">
        <v>80</v>
      </c>
      <c r="E24" s="23"/>
      <c r="F24" s="35" t="s">
        <v>24</v>
      </c>
      <c r="G24" s="22"/>
      <c r="H24" s="37">
        <v>0.07130788194444447</v>
      </c>
      <c r="I24" s="38">
        <v>23</v>
      </c>
    </row>
    <row r="25" spans="1:9" ht="15">
      <c r="A25" s="35">
        <v>24</v>
      </c>
      <c r="B25" s="35" t="s">
        <v>78</v>
      </c>
      <c r="C25" s="35" t="s">
        <v>81</v>
      </c>
      <c r="D25" s="35" t="s">
        <v>82</v>
      </c>
      <c r="E25" s="24"/>
      <c r="F25" s="35" t="s">
        <v>24</v>
      </c>
      <c r="G25" s="21"/>
      <c r="H25" s="37">
        <v>0.051890601851851875</v>
      </c>
      <c r="I25">
        <v>24</v>
      </c>
    </row>
    <row r="26" spans="1:9" ht="15">
      <c r="A26" s="35">
        <v>25</v>
      </c>
      <c r="B26" s="35" t="s">
        <v>83</v>
      </c>
      <c r="C26" s="35" t="s">
        <v>84</v>
      </c>
      <c r="D26" s="35" t="s">
        <v>85</v>
      </c>
      <c r="E26" s="24"/>
      <c r="F26" s="35" t="s">
        <v>39</v>
      </c>
      <c r="G26" s="20"/>
      <c r="H26" s="37">
        <v>0.06401390046296297</v>
      </c>
      <c r="I26" s="38">
        <v>25</v>
      </c>
    </row>
    <row r="27" spans="1:9" ht="15">
      <c r="A27" s="35">
        <v>26</v>
      </c>
      <c r="B27" s="35" t="s">
        <v>86</v>
      </c>
      <c r="C27" s="35" t="s">
        <v>57</v>
      </c>
      <c r="D27" s="35" t="s">
        <v>85</v>
      </c>
      <c r="E27" s="24"/>
      <c r="F27" s="35" t="s">
        <v>39</v>
      </c>
      <c r="G27" s="20"/>
      <c r="H27" s="37">
        <v>0.06498203703703707</v>
      </c>
      <c r="I27" s="38">
        <v>26</v>
      </c>
    </row>
    <row r="28" spans="1:9" ht="15">
      <c r="A28" s="36">
        <v>27</v>
      </c>
      <c r="B28" s="35" t="s">
        <v>87</v>
      </c>
      <c r="C28" s="35" t="s">
        <v>88</v>
      </c>
      <c r="D28" s="35" t="s">
        <v>89</v>
      </c>
      <c r="E28" s="23"/>
      <c r="F28" s="35" t="s">
        <v>56</v>
      </c>
      <c r="G28" s="20"/>
      <c r="H28" s="37">
        <v>0.06398252314814817</v>
      </c>
      <c r="I28" s="38">
        <v>27</v>
      </c>
    </row>
    <row r="29" spans="1:9" ht="15">
      <c r="A29" s="35">
        <v>28</v>
      </c>
      <c r="B29" s="35" t="s">
        <v>90</v>
      </c>
      <c r="C29" s="35" t="s">
        <v>62</v>
      </c>
      <c r="D29" s="35" t="s">
        <v>91</v>
      </c>
      <c r="E29" s="23"/>
      <c r="F29" s="35" t="s">
        <v>67</v>
      </c>
      <c r="G29" s="20"/>
      <c r="H29" s="37">
        <v>0.06040418981481478</v>
      </c>
      <c r="I29" s="38">
        <v>28</v>
      </c>
    </row>
    <row r="30" spans="1:9" ht="15">
      <c r="A30" s="35">
        <v>29</v>
      </c>
      <c r="B30" s="35" t="s">
        <v>92</v>
      </c>
      <c r="C30" s="35" t="s">
        <v>93</v>
      </c>
      <c r="D30" s="35" t="s">
        <v>85</v>
      </c>
      <c r="E30" s="24"/>
      <c r="F30" s="35" t="s">
        <v>21</v>
      </c>
      <c r="G30" s="19"/>
      <c r="H30" s="37">
        <v>0.07530012731481478</v>
      </c>
      <c r="I30" s="38">
        <v>29</v>
      </c>
    </row>
    <row r="31" spans="1:9" ht="15">
      <c r="A31" s="35">
        <v>30</v>
      </c>
      <c r="B31" s="35" t="s">
        <v>94</v>
      </c>
      <c r="C31" s="35" t="s">
        <v>95</v>
      </c>
      <c r="D31" s="34"/>
      <c r="E31" s="24"/>
      <c r="F31" s="35" t="s">
        <v>56</v>
      </c>
      <c r="G31" s="19"/>
      <c r="H31" s="37">
        <v>0.056883344907407374</v>
      </c>
      <c r="I31">
        <v>30</v>
      </c>
    </row>
    <row r="32" spans="1:9" ht="15">
      <c r="A32" s="35">
        <v>31</v>
      </c>
      <c r="B32" s="35" t="s">
        <v>96</v>
      </c>
      <c r="C32" s="35" t="s">
        <v>62</v>
      </c>
      <c r="D32" s="35" t="s">
        <v>97</v>
      </c>
      <c r="E32" s="24"/>
      <c r="F32" s="35" t="s">
        <v>67</v>
      </c>
      <c r="G32" s="21"/>
      <c r="H32" s="37">
        <v>0.058698032407407376</v>
      </c>
      <c r="I32" s="10">
        <v>31</v>
      </c>
    </row>
    <row r="33" spans="1:9" ht="15">
      <c r="A33" s="35">
        <v>32</v>
      </c>
      <c r="B33" s="35" t="s">
        <v>98</v>
      </c>
      <c r="C33" s="35" t="s">
        <v>99</v>
      </c>
      <c r="D33" s="35" t="s">
        <v>100</v>
      </c>
      <c r="E33" s="24"/>
      <c r="F33" s="35" t="s">
        <v>24</v>
      </c>
      <c r="G33" s="20"/>
      <c r="H33" s="37">
        <v>0.057996018518518475</v>
      </c>
      <c r="I33">
        <v>32</v>
      </c>
    </row>
    <row r="34" spans="1:9" ht="15">
      <c r="A34" s="35">
        <v>33</v>
      </c>
      <c r="B34" s="35" t="s">
        <v>101</v>
      </c>
      <c r="C34" s="35" t="s">
        <v>33</v>
      </c>
      <c r="D34" s="35" t="s">
        <v>100</v>
      </c>
      <c r="E34" s="23"/>
      <c r="F34" s="35" t="s">
        <v>39</v>
      </c>
      <c r="G34" s="20"/>
      <c r="H34" s="37">
        <v>0.057949363425925875</v>
      </c>
      <c r="I34">
        <v>33</v>
      </c>
    </row>
    <row r="35" spans="1:9" ht="15">
      <c r="A35" s="35">
        <v>34</v>
      </c>
      <c r="B35" s="35" t="s">
        <v>102</v>
      </c>
      <c r="C35" s="35" t="s">
        <v>103</v>
      </c>
      <c r="D35" s="35" t="s">
        <v>104</v>
      </c>
      <c r="E35" s="23"/>
      <c r="F35" s="35" t="s">
        <v>21</v>
      </c>
      <c r="G35" s="21"/>
      <c r="H35" s="37">
        <v>0.06433549768518518</v>
      </c>
      <c r="I35" s="38">
        <v>34</v>
      </c>
    </row>
    <row r="36" spans="1:9" ht="15">
      <c r="A36" s="35">
        <v>35</v>
      </c>
      <c r="B36" s="35" t="s">
        <v>105</v>
      </c>
      <c r="C36" s="35" t="s">
        <v>106</v>
      </c>
      <c r="D36" s="36" t="s">
        <v>107</v>
      </c>
      <c r="E36" s="23"/>
      <c r="F36" s="35" t="s">
        <v>21</v>
      </c>
      <c r="G36" s="20"/>
      <c r="H36" s="37">
        <v>0.05927954861111108</v>
      </c>
      <c r="I36" s="38">
        <v>35</v>
      </c>
    </row>
    <row r="37" spans="1:9" ht="15">
      <c r="A37" s="35">
        <v>36</v>
      </c>
      <c r="B37" s="35" t="s">
        <v>108</v>
      </c>
      <c r="C37" s="35" t="s">
        <v>109</v>
      </c>
      <c r="D37" s="36"/>
      <c r="E37" s="23"/>
      <c r="F37" s="36" t="s">
        <v>21</v>
      </c>
      <c r="G37" s="19"/>
      <c r="H37" s="37">
        <v>0.05909731481481478</v>
      </c>
      <c r="I37" s="38">
        <v>36</v>
      </c>
    </row>
    <row r="38" spans="1:9" ht="15">
      <c r="A38" s="35">
        <v>37</v>
      </c>
      <c r="B38" s="35" t="s">
        <v>110</v>
      </c>
      <c r="C38" s="35" t="s">
        <v>26</v>
      </c>
      <c r="D38" s="35" t="s">
        <v>111</v>
      </c>
      <c r="E38" s="24"/>
      <c r="F38" s="35" t="s">
        <v>21</v>
      </c>
      <c r="G38" s="21"/>
      <c r="H38" s="37">
        <v>0.056387175925925875</v>
      </c>
      <c r="I38">
        <v>37</v>
      </c>
    </row>
    <row r="39" spans="1:9" ht="15">
      <c r="A39" s="35">
        <v>38</v>
      </c>
      <c r="B39" s="35" t="s">
        <v>112</v>
      </c>
      <c r="C39" s="35" t="s">
        <v>59</v>
      </c>
      <c r="D39" s="36" t="s">
        <v>85</v>
      </c>
      <c r="E39" s="23"/>
      <c r="F39" s="35" t="s">
        <v>21</v>
      </c>
      <c r="G39" s="19"/>
      <c r="H39" s="37">
        <v>0.05944601851851848</v>
      </c>
      <c r="I39" s="38">
        <v>38</v>
      </c>
    </row>
    <row r="40" spans="1:9" ht="15">
      <c r="A40" s="35">
        <v>39</v>
      </c>
      <c r="B40" s="35" t="s">
        <v>113</v>
      </c>
      <c r="C40" s="35" t="s">
        <v>106</v>
      </c>
      <c r="D40" s="36" t="s">
        <v>114</v>
      </c>
      <c r="E40" s="23"/>
      <c r="F40" s="35" t="s">
        <v>21</v>
      </c>
      <c r="G40" s="20"/>
      <c r="H40" s="37">
        <v>0.06535276620370367</v>
      </c>
      <c r="I40" s="38">
        <v>39</v>
      </c>
    </row>
    <row r="41" spans="1:9" ht="15">
      <c r="A41" s="35">
        <v>40</v>
      </c>
      <c r="B41" s="35" t="s">
        <v>115</v>
      </c>
      <c r="C41" s="35" t="s">
        <v>30</v>
      </c>
      <c r="D41" s="35" t="s">
        <v>116</v>
      </c>
      <c r="E41" s="24"/>
      <c r="F41" s="35" t="s">
        <v>21</v>
      </c>
      <c r="G41" s="20"/>
      <c r="H41" s="37">
        <v>0.05910273148148147</v>
      </c>
      <c r="I41" s="38">
        <v>40</v>
      </c>
    </row>
    <row r="42" spans="1:9" ht="15">
      <c r="A42" s="35">
        <v>41</v>
      </c>
      <c r="B42" s="35" t="s">
        <v>117</v>
      </c>
      <c r="C42" s="35" t="s">
        <v>118</v>
      </c>
      <c r="D42" s="35" t="s">
        <v>119</v>
      </c>
      <c r="E42" s="24"/>
      <c r="F42" s="35" t="s">
        <v>24</v>
      </c>
      <c r="G42" s="20"/>
      <c r="H42" s="37">
        <v>0.05767298611111116</v>
      </c>
      <c r="I42" s="38">
        <v>41</v>
      </c>
    </row>
    <row r="43" spans="1:9" ht="15">
      <c r="A43" s="35">
        <v>42</v>
      </c>
      <c r="B43" s="35" t="s">
        <v>120</v>
      </c>
      <c r="C43" s="35" t="s">
        <v>121</v>
      </c>
      <c r="D43" s="35" t="s">
        <v>122</v>
      </c>
      <c r="E43" s="26"/>
      <c r="F43" s="35" t="s">
        <v>39</v>
      </c>
      <c r="G43" s="21"/>
      <c r="H43" s="37">
        <v>0.06000457175925926</v>
      </c>
      <c r="I43" s="38">
        <v>42</v>
      </c>
    </row>
    <row r="44" spans="1:9" ht="15">
      <c r="A44" s="35">
        <v>43</v>
      </c>
      <c r="B44" s="35" t="s">
        <v>123</v>
      </c>
      <c r="C44" s="35" t="s">
        <v>59</v>
      </c>
      <c r="D44" s="35" t="s">
        <v>124</v>
      </c>
      <c r="E44" s="24"/>
      <c r="F44" s="35" t="s">
        <v>67</v>
      </c>
      <c r="G44" s="21"/>
      <c r="H44" s="37">
        <v>0.059432546296296254</v>
      </c>
      <c r="I44" s="38">
        <v>43</v>
      </c>
    </row>
    <row r="45" spans="1:9" ht="15">
      <c r="A45" s="35">
        <v>44</v>
      </c>
      <c r="B45" s="35" t="s">
        <v>125</v>
      </c>
      <c r="C45" s="35" t="s">
        <v>19</v>
      </c>
      <c r="D45" s="34"/>
      <c r="E45" s="23"/>
      <c r="F45" s="35" t="s">
        <v>21</v>
      </c>
      <c r="G45" s="19"/>
      <c r="H45" s="37">
        <v>0.058884166666666654</v>
      </c>
      <c r="I45" s="38">
        <v>44</v>
      </c>
    </row>
    <row r="46" spans="1:9" ht="15">
      <c r="A46" s="35">
        <v>45</v>
      </c>
      <c r="B46" s="35" t="s">
        <v>126</v>
      </c>
      <c r="C46" s="35" t="s">
        <v>93</v>
      </c>
      <c r="D46" s="36" t="s">
        <v>127</v>
      </c>
      <c r="E46" s="24"/>
      <c r="F46" s="35" t="s">
        <v>21</v>
      </c>
      <c r="G46" s="19"/>
      <c r="H46" s="37">
        <v>0.06540839120370365</v>
      </c>
      <c r="I46" s="38">
        <v>45</v>
      </c>
    </row>
    <row r="47" spans="1:9" ht="15">
      <c r="A47" s="35">
        <v>46</v>
      </c>
      <c r="B47" s="35" t="s">
        <v>128</v>
      </c>
      <c r="C47" s="35" t="s">
        <v>65</v>
      </c>
      <c r="D47" s="35" t="s">
        <v>129</v>
      </c>
      <c r="E47" s="24"/>
      <c r="F47" s="35" t="s">
        <v>24</v>
      </c>
      <c r="G47" s="20"/>
      <c r="H47" s="37">
        <v>0.061191168981481456</v>
      </c>
      <c r="I47" s="38">
        <v>46</v>
      </c>
    </row>
    <row r="48" spans="1:9" ht="15">
      <c r="A48" s="35">
        <v>47</v>
      </c>
      <c r="B48" s="35" t="s">
        <v>130</v>
      </c>
      <c r="C48" s="35" t="s">
        <v>62</v>
      </c>
      <c r="D48" s="35" t="s">
        <v>131</v>
      </c>
      <c r="E48" s="26"/>
      <c r="F48" s="35" t="s">
        <v>21</v>
      </c>
      <c r="G48" s="20"/>
      <c r="H48" s="37">
        <v>0.06902915509259255</v>
      </c>
      <c r="I48" s="38">
        <v>47</v>
      </c>
    </row>
    <row r="49" spans="1:9" ht="15">
      <c r="A49" s="35">
        <v>48</v>
      </c>
      <c r="B49" s="35" t="s">
        <v>132</v>
      </c>
      <c r="C49" s="35" t="s">
        <v>93</v>
      </c>
      <c r="D49" s="35" t="s">
        <v>85</v>
      </c>
      <c r="E49" s="24"/>
      <c r="F49" s="35" t="s">
        <v>21</v>
      </c>
      <c r="G49" s="21"/>
      <c r="H49" s="37">
        <v>0.06294004629629625</v>
      </c>
      <c r="I49" s="38">
        <v>48</v>
      </c>
    </row>
    <row r="50" spans="1:9" ht="15">
      <c r="A50" s="35">
        <v>49</v>
      </c>
      <c r="B50" s="35" t="s">
        <v>133</v>
      </c>
      <c r="C50" s="35" t="s">
        <v>134</v>
      </c>
      <c r="D50" s="36" t="s">
        <v>135</v>
      </c>
      <c r="E50" s="24"/>
      <c r="F50" s="35" t="s">
        <v>21</v>
      </c>
      <c r="G50" s="20"/>
      <c r="H50" s="37" t="s">
        <v>230</v>
      </c>
      <c r="I50" s="38"/>
    </row>
    <row r="51" spans="1:9" ht="15">
      <c r="A51" s="35">
        <v>50</v>
      </c>
      <c r="B51" s="35" t="s">
        <v>136</v>
      </c>
      <c r="C51" s="35" t="s">
        <v>137</v>
      </c>
      <c r="D51" s="35" t="s">
        <v>138</v>
      </c>
      <c r="E51" s="24"/>
      <c r="F51" s="35" t="s">
        <v>21</v>
      </c>
      <c r="G51" s="20"/>
      <c r="H51" s="37">
        <v>0.05968689814814815</v>
      </c>
      <c r="I51" s="38">
        <v>50</v>
      </c>
    </row>
    <row r="52" spans="1:9" ht="15">
      <c r="A52" s="35">
        <v>51</v>
      </c>
      <c r="B52" s="35" t="s">
        <v>139</v>
      </c>
      <c r="C52" s="35" t="s">
        <v>57</v>
      </c>
      <c r="D52" s="34"/>
      <c r="E52" s="23"/>
      <c r="F52" s="35" t="s">
        <v>39</v>
      </c>
      <c r="G52" s="20"/>
      <c r="H52" s="37">
        <v>0.06345982638888885</v>
      </c>
      <c r="I52" s="38">
        <v>51</v>
      </c>
    </row>
    <row r="53" spans="1:9" ht="15">
      <c r="A53" s="35">
        <v>52</v>
      </c>
      <c r="B53" s="35" t="s">
        <v>140</v>
      </c>
      <c r="C53" s="35" t="s">
        <v>141</v>
      </c>
      <c r="D53" s="35" t="s">
        <v>142</v>
      </c>
      <c r="E53" s="24"/>
      <c r="F53" s="35" t="s">
        <v>39</v>
      </c>
      <c r="G53" s="20"/>
      <c r="H53" s="37">
        <v>0.06322581018518515</v>
      </c>
      <c r="I53" s="38">
        <v>52</v>
      </c>
    </row>
    <row r="54" spans="1:9" ht="15">
      <c r="A54" s="35">
        <v>53</v>
      </c>
      <c r="B54" s="35" t="s">
        <v>143</v>
      </c>
      <c r="C54" s="35" t="s">
        <v>144</v>
      </c>
      <c r="D54" s="35" t="s">
        <v>145</v>
      </c>
      <c r="E54" s="23"/>
      <c r="F54" s="35" t="s">
        <v>67</v>
      </c>
      <c r="G54" s="20"/>
      <c r="H54" s="37">
        <v>0.05747459490740746</v>
      </c>
      <c r="I54" s="38">
        <v>53</v>
      </c>
    </row>
    <row r="55" spans="1:9" ht="15">
      <c r="A55" s="35">
        <v>54</v>
      </c>
      <c r="B55" s="35" t="s">
        <v>146</v>
      </c>
      <c r="C55" s="35" t="s">
        <v>147</v>
      </c>
      <c r="D55" s="36" t="s">
        <v>148</v>
      </c>
      <c r="E55" s="23"/>
      <c r="F55" s="35" t="s">
        <v>39</v>
      </c>
      <c r="G55" s="20"/>
      <c r="H55" s="37">
        <v>0.060337627314814846</v>
      </c>
      <c r="I55" s="38">
        <v>54</v>
      </c>
    </row>
    <row r="56" spans="1:9" ht="15">
      <c r="A56" s="35">
        <v>55</v>
      </c>
      <c r="B56" s="35" t="s">
        <v>149</v>
      </c>
      <c r="C56" s="35" t="s">
        <v>150</v>
      </c>
      <c r="D56" s="36"/>
      <c r="E56" s="24"/>
      <c r="F56" s="35" t="s">
        <v>21</v>
      </c>
      <c r="G56" s="20"/>
      <c r="H56" s="37">
        <v>0.06034436342592596</v>
      </c>
      <c r="I56" s="38">
        <v>55</v>
      </c>
    </row>
    <row r="57" spans="1:9" ht="15">
      <c r="A57" s="35">
        <v>56</v>
      </c>
      <c r="B57" s="35" t="s">
        <v>151</v>
      </c>
      <c r="C57" s="35" t="s">
        <v>103</v>
      </c>
      <c r="D57" s="35" t="s">
        <v>152</v>
      </c>
      <c r="E57" s="24"/>
      <c r="F57" s="35" t="s">
        <v>21</v>
      </c>
      <c r="G57" s="21"/>
      <c r="H57" s="37">
        <v>0.06390746527777776</v>
      </c>
      <c r="I57" s="38">
        <v>56</v>
      </c>
    </row>
    <row r="58" spans="1:9" ht="15">
      <c r="A58" s="35">
        <v>57</v>
      </c>
      <c r="B58" s="35" t="s">
        <v>151</v>
      </c>
      <c r="C58" s="35" t="s">
        <v>103</v>
      </c>
      <c r="D58" s="35" t="s">
        <v>153</v>
      </c>
      <c r="E58" s="24"/>
      <c r="F58" s="35" t="s">
        <v>24</v>
      </c>
      <c r="G58" s="21"/>
      <c r="H58" s="37">
        <v>0.06719771990740746</v>
      </c>
      <c r="I58" s="38">
        <v>57</v>
      </c>
    </row>
    <row r="59" spans="1:9" ht="15">
      <c r="A59" s="35">
        <v>58</v>
      </c>
      <c r="B59" s="35" t="s">
        <v>154</v>
      </c>
      <c r="C59" s="35" t="s">
        <v>30</v>
      </c>
      <c r="D59" s="35" t="s">
        <v>155</v>
      </c>
      <c r="E59" s="24"/>
      <c r="F59" s="35" t="s">
        <v>21</v>
      </c>
      <c r="G59" s="21"/>
      <c r="H59" s="37">
        <v>0.06658307870370365</v>
      </c>
      <c r="I59" s="38">
        <v>58</v>
      </c>
    </row>
    <row r="60" spans="1:9" ht="15">
      <c r="A60" s="35">
        <v>59</v>
      </c>
      <c r="B60" s="35" t="s">
        <v>156</v>
      </c>
      <c r="C60" s="35" t="s">
        <v>157</v>
      </c>
      <c r="D60" s="35" t="s">
        <v>155</v>
      </c>
      <c r="E60" s="24"/>
      <c r="F60" s="35" t="s">
        <v>39</v>
      </c>
      <c r="G60" s="20"/>
      <c r="H60" s="37">
        <v>0.06199645833333335</v>
      </c>
      <c r="I60" s="38">
        <v>59</v>
      </c>
    </row>
    <row r="61" spans="1:9" ht="15">
      <c r="A61" s="35">
        <v>60</v>
      </c>
      <c r="B61" s="35" t="s">
        <v>158</v>
      </c>
      <c r="C61" s="35" t="s">
        <v>71</v>
      </c>
      <c r="D61" s="35" t="s">
        <v>159</v>
      </c>
      <c r="E61" s="23"/>
      <c r="F61" s="35" t="s">
        <v>28</v>
      </c>
      <c r="G61" s="20"/>
      <c r="H61" s="37">
        <v>0.06473131944444445</v>
      </c>
      <c r="I61" s="38">
        <v>60</v>
      </c>
    </row>
    <row r="62" spans="1:9" ht="15">
      <c r="A62" s="35">
        <v>61</v>
      </c>
      <c r="B62" s="35" t="s">
        <v>160</v>
      </c>
      <c r="C62" s="35" t="s">
        <v>161</v>
      </c>
      <c r="D62" s="35" t="s">
        <v>138</v>
      </c>
      <c r="E62" s="24"/>
      <c r="F62" s="35" t="s">
        <v>21</v>
      </c>
      <c r="G62" s="21"/>
      <c r="H62" s="37">
        <v>0.06254717592592593</v>
      </c>
      <c r="I62" s="38">
        <v>61</v>
      </c>
    </row>
    <row r="63" spans="1:9" ht="15">
      <c r="A63" s="35">
        <v>62</v>
      </c>
      <c r="B63" s="35" t="s">
        <v>162</v>
      </c>
      <c r="C63" s="35" t="s">
        <v>62</v>
      </c>
      <c r="D63" s="35" t="s">
        <v>138</v>
      </c>
      <c r="E63" s="24"/>
      <c r="F63" s="35" t="s">
        <v>21</v>
      </c>
      <c r="G63" s="20"/>
      <c r="H63" s="37">
        <v>0.05742603009259264</v>
      </c>
      <c r="I63" s="38">
        <v>62</v>
      </c>
    </row>
    <row r="64" spans="1:9" ht="15">
      <c r="A64" s="35">
        <v>63</v>
      </c>
      <c r="B64" s="35" t="s">
        <v>163</v>
      </c>
      <c r="C64" s="35" t="s">
        <v>33</v>
      </c>
      <c r="D64" s="35" t="s">
        <v>164</v>
      </c>
      <c r="E64" s="24"/>
      <c r="F64" s="35" t="s">
        <v>39</v>
      </c>
      <c r="G64" s="20"/>
      <c r="H64" s="37">
        <v>0.062366620370370336</v>
      </c>
      <c r="I64" s="38">
        <v>63</v>
      </c>
    </row>
    <row r="65" spans="1:9" ht="15">
      <c r="A65" s="35">
        <v>64</v>
      </c>
      <c r="B65" s="35" t="s">
        <v>165</v>
      </c>
      <c r="C65" s="35" t="s">
        <v>62</v>
      </c>
      <c r="D65" s="36" t="s">
        <v>49</v>
      </c>
      <c r="E65" s="23"/>
      <c r="F65" s="35" t="s">
        <v>21</v>
      </c>
      <c r="G65" s="20"/>
      <c r="H65" s="37">
        <v>0.06399305555555553</v>
      </c>
      <c r="I65" s="38">
        <v>64</v>
      </c>
    </row>
    <row r="66" spans="1:9" ht="15">
      <c r="A66" s="35">
        <v>65</v>
      </c>
      <c r="B66" s="35" t="s">
        <v>166</v>
      </c>
      <c r="C66" s="35" t="s">
        <v>55</v>
      </c>
      <c r="D66" s="35" t="s">
        <v>167</v>
      </c>
      <c r="E66" s="23"/>
      <c r="F66" s="35" t="s">
        <v>39</v>
      </c>
      <c r="G66" s="20"/>
      <c r="H66" s="37">
        <v>0.06275539351851853</v>
      </c>
      <c r="I66" s="38">
        <v>65</v>
      </c>
    </row>
    <row r="67" spans="1:9" ht="15">
      <c r="A67" s="35">
        <v>66</v>
      </c>
      <c r="B67" s="35" t="s">
        <v>168</v>
      </c>
      <c r="C67" s="35" t="s">
        <v>65</v>
      </c>
      <c r="D67" s="35" t="s">
        <v>164</v>
      </c>
      <c r="E67" s="23"/>
      <c r="F67" s="35" t="s">
        <v>24</v>
      </c>
      <c r="G67" s="20"/>
      <c r="H67" s="37" t="s">
        <v>230</v>
      </c>
      <c r="I67" s="38"/>
    </row>
    <row r="68" spans="1:9" ht="15">
      <c r="A68" s="35">
        <v>67</v>
      </c>
      <c r="B68" s="35" t="s">
        <v>169</v>
      </c>
      <c r="C68" s="35" t="s">
        <v>19</v>
      </c>
      <c r="D68" s="36" t="s">
        <v>170</v>
      </c>
      <c r="E68" s="23"/>
      <c r="F68" s="35" t="s">
        <v>21</v>
      </c>
      <c r="G68" s="21"/>
      <c r="H68" s="37">
        <v>0.06022484953703703</v>
      </c>
      <c r="I68" s="38">
        <v>67</v>
      </c>
    </row>
    <row r="69" spans="1:9" ht="15">
      <c r="A69" s="35">
        <v>68</v>
      </c>
      <c r="B69" s="35" t="s">
        <v>171</v>
      </c>
      <c r="C69" s="35" t="s">
        <v>172</v>
      </c>
      <c r="D69" s="36" t="s">
        <v>170</v>
      </c>
      <c r="E69" s="24"/>
      <c r="F69" s="35" t="s">
        <v>21</v>
      </c>
      <c r="G69" s="20"/>
      <c r="H69" s="37">
        <v>0.05145592592592593</v>
      </c>
      <c r="I69">
        <v>68</v>
      </c>
    </row>
    <row r="70" spans="1:9" ht="15">
      <c r="A70" s="35">
        <v>69</v>
      </c>
      <c r="B70" s="35" t="s">
        <v>173</v>
      </c>
      <c r="C70" s="35" t="s">
        <v>103</v>
      </c>
      <c r="D70" s="36" t="s">
        <v>174</v>
      </c>
      <c r="E70" s="24"/>
      <c r="F70" s="35" t="s">
        <v>67</v>
      </c>
      <c r="G70" s="21"/>
      <c r="H70" s="37">
        <v>0.06199488425925923</v>
      </c>
      <c r="I70" s="38">
        <v>69</v>
      </c>
    </row>
    <row r="71" spans="1:9" ht="15">
      <c r="A71" s="35">
        <v>70</v>
      </c>
      <c r="B71" s="35" t="s">
        <v>175</v>
      </c>
      <c r="C71" s="35" t="s">
        <v>106</v>
      </c>
      <c r="D71" s="35" t="s">
        <v>176</v>
      </c>
      <c r="E71" s="24"/>
      <c r="F71" s="35" t="s">
        <v>21</v>
      </c>
      <c r="G71" s="19"/>
      <c r="H71" s="37">
        <v>0.07270781250000002</v>
      </c>
      <c r="I71" s="38">
        <v>70</v>
      </c>
    </row>
    <row r="72" spans="1:9" ht="15">
      <c r="A72" s="35">
        <v>71</v>
      </c>
      <c r="B72" s="35" t="s">
        <v>177</v>
      </c>
      <c r="C72" s="35" t="s">
        <v>178</v>
      </c>
      <c r="D72" s="36" t="s">
        <v>179</v>
      </c>
      <c r="E72" s="24"/>
      <c r="F72" s="35" t="s">
        <v>21</v>
      </c>
      <c r="G72" s="21"/>
      <c r="H72" s="37">
        <v>0.07269250000000003</v>
      </c>
      <c r="I72" s="38">
        <v>71</v>
      </c>
    </row>
    <row r="73" spans="1:9" ht="15">
      <c r="A73" s="35">
        <v>72</v>
      </c>
      <c r="B73" s="35" t="s">
        <v>180</v>
      </c>
      <c r="C73" s="35" t="s">
        <v>62</v>
      </c>
      <c r="D73" s="36"/>
      <c r="E73" s="23"/>
      <c r="F73" s="35" t="s">
        <v>24</v>
      </c>
      <c r="G73" s="19"/>
      <c r="H73" s="37">
        <v>0.06103627314814814</v>
      </c>
      <c r="I73" s="38">
        <v>72</v>
      </c>
    </row>
    <row r="74" spans="1:9" ht="15">
      <c r="A74" s="35">
        <v>73</v>
      </c>
      <c r="B74" s="35" t="s">
        <v>181</v>
      </c>
      <c r="C74" s="35" t="s">
        <v>103</v>
      </c>
      <c r="D74" s="36" t="s">
        <v>182</v>
      </c>
      <c r="E74" s="24"/>
      <c r="F74" s="35" t="s">
        <v>21</v>
      </c>
      <c r="G74" s="20"/>
      <c r="H74" s="37">
        <v>0.07724868055555553</v>
      </c>
      <c r="I74" s="38">
        <v>73</v>
      </c>
    </row>
    <row r="75" spans="1:9" ht="15">
      <c r="A75" s="35">
        <v>74</v>
      </c>
      <c r="B75" s="35" t="s">
        <v>183</v>
      </c>
      <c r="C75" s="35" t="s">
        <v>71</v>
      </c>
      <c r="D75" s="36"/>
      <c r="E75" s="24"/>
      <c r="F75" s="35" t="s">
        <v>24</v>
      </c>
      <c r="G75" s="21"/>
      <c r="H75" s="37">
        <v>0.06493651620370373</v>
      </c>
      <c r="I75" s="38">
        <v>74</v>
      </c>
    </row>
    <row r="76" spans="1:9" ht="15">
      <c r="A76" s="35">
        <v>75</v>
      </c>
      <c r="B76" s="35" t="s">
        <v>51</v>
      </c>
      <c r="C76" s="35" t="s">
        <v>103</v>
      </c>
      <c r="D76" s="35" t="s">
        <v>184</v>
      </c>
      <c r="E76" s="24"/>
      <c r="F76" s="35" t="s">
        <v>21</v>
      </c>
      <c r="G76" s="19"/>
      <c r="H76" s="37">
        <v>0.05848752314814814</v>
      </c>
      <c r="I76" s="38">
        <v>75</v>
      </c>
    </row>
    <row r="77" spans="1:9" ht="15">
      <c r="A77" s="35">
        <v>76</v>
      </c>
      <c r="B77" s="35" t="s">
        <v>185</v>
      </c>
      <c r="C77" s="35" t="s">
        <v>144</v>
      </c>
      <c r="D77" s="34"/>
      <c r="E77" s="23"/>
      <c r="F77" s="35" t="s">
        <v>21</v>
      </c>
      <c r="G77" s="19"/>
      <c r="H77" s="37">
        <v>0.06855739583333333</v>
      </c>
      <c r="I77" s="38">
        <v>76</v>
      </c>
    </row>
    <row r="78" spans="1:9" ht="15">
      <c r="A78" s="35">
        <v>77</v>
      </c>
      <c r="B78" s="35" t="s">
        <v>186</v>
      </c>
      <c r="C78" s="35" t="s">
        <v>84</v>
      </c>
      <c r="D78" s="36" t="s">
        <v>187</v>
      </c>
      <c r="E78" s="24"/>
      <c r="F78" s="35" t="s">
        <v>56</v>
      </c>
      <c r="G78" s="20"/>
      <c r="H78" s="37">
        <v>0.06259807870370374</v>
      </c>
      <c r="I78" s="38">
        <v>77</v>
      </c>
    </row>
    <row r="79" spans="1:9" ht="15">
      <c r="A79" s="35">
        <v>78</v>
      </c>
      <c r="B79" s="35" t="s">
        <v>188</v>
      </c>
      <c r="C79" s="35" t="s">
        <v>22</v>
      </c>
      <c r="D79" s="36" t="s">
        <v>187</v>
      </c>
      <c r="E79" s="24"/>
      <c r="F79" s="35" t="s">
        <v>67</v>
      </c>
      <c r="G79" s="20"/>
      <c r="H79" s="37">
        <v>0.06168325231481484</v>
      </c>
      <c r="I79" s="38">
        <v>78</v>
      </c>
    </row>
    <row r="80" spans="1:9" ht="15">
      <c r="A80" s="35">
        <v>79</v>
      </c>
      <c r="B80" s="35" t="s">
        <v>189</v>
      </c>
      <c r="C80" s="35" t="s">
        <v>190</v>
      </c>
      <c r="D80" s="34"/>
      <c r="E80" s="24"/>
      <c r="F80" s="35" t="s">
        <v>24</v>
      </c>
      <c r="G80" s="20"/>
      <c r="H80" s="37">
        <v>0.06329817129629633</v>
      </c>
      <c r="I80" s="38">
        <v>79</v>
      </c>
    </row>
    <row r="81" spans="1:9" ht="15">
      <c r="A81" s="35">
        <v>80</v>
      </c>
      <c r="B81" s="35" t="s">
        <v>191</v>
      </c>
      <c r="C81" s="35" t="s">
        <v>84</v>
      </c>
      <c r="D81" s="35" t="s">
        <v>192</v>
      </c>
      <c r="E81" s="24"/>
      <c r="F81" s="35" t="s">
        <v>56</v>
      </c>
      <c r="G81" s="20"/>
      <c r="H81" s="37">
        <v>0.061987673611111134</v>
      </c>
      <c r="I81" s="38">
        <v>80</v>
      </c>
    </row>
    <row r="82" spans="1:9" ht="15">
      <c r="A82" s="35">
        <v>81</v>
      </c>
      <c r="B82" s="35" t="s">
        <v>193</v>
      </c>
      <c r="C82" s="35" t="s">
        <v>194</v>
      </c>
      <c r="D82" s="35" t="s">
        <v>195</v>
      </c>
      <c r="E82" s="23"/>
      <c r="F82" s="35" t="s">
        <v>56</v>
      </c>
      <c r="G82" s="20"/>
      <c r="H82" s="37">
        <v>0.062298483796296315</v>
      </c>
      <c r="I82" s="38">
        <v>81</v>
      </c>
    </row>
    <row r="83" spans="1:9" ht="15">
      <c r="A83" s="35">
        <v>82</v>
      </c>
      <c r="B83" s="35" t="s">
        <v>196</v>
      </c>
      <c r="C83" s="35" t="s">
        <v>30</v>
      </c>
      <c r="D83" s="35" t="s">
        <v>197</v>
      </c>
      <c r="E83" s="23"/>
      <c r="F83" s="35" t="s">
        <v>67</v>
      </c>
      <c r="G83" s="20"/>
      <c r="H83" s="37">
        <v>0.05974335648148151</v>
      </c>
      <c r="I83" s="38">
        <v>82</v>
      </c>
    </row>
    <row r="84" spans="1:9" ht="15">
      <c r="A84" s="35">
        <v>83</v>
      </c>
      <c r="B84" s="35" t="s">
        <v>143</v>
      </c>
      <c r="C84" s="35" t="s">
        <v>30</v>
      </c>
      <c r="D84" s="36" t="s">
        <v>197</v>
      </c>
      <c r="E84" s="23"/>
      <c r="F84" s="35" t="s">
        <v>67</v>
      </c>
      <c r="G84" s="20"/>
      <c r="H84" s="37">
        <v>0.06315497685185181</v>
      </c>
      <c r="I84" s="38">
        <v>83</v>
      </c>
    </row>
    <row r="85" spans="1:9" ht="15">
      <c r="A85" s="35">
        <v>84</v>
      </c>
      <c r="B85" s="35" t="s">
        <v>198</v>
      </c>
      <c r="C85" s="35" t="s">
        <v>199</v>
      </c>
      <c r="D85" s="35" t="s">
        <v>200</v>
      </c>
      <c r="E85" s="27"/>
      <c r="F85" s="35" t="s">
        <v>21</v>
      </c>
      <c r="G85" s="20"/>
      <c r="H85" s="37">
        <v>0.05996942129629631</v>
      </c>
      <c r="I85" s="38">
        <v>84</v>
      </c>
    </row>
    <row r="86" spans="1:9" ht="15">
      <c r="A86" s="35">
        <v>85</v>
      </c>
      <c r="B86" s="35" t="s">
        <v>201</v>
      </c>
      <c r="C86" s="35" t="s">
        <v>202</v>
      </c>
      <c r="D86" s="35" t="s">
        <v>203</v>
      </c>
      <c r="E86" s="24"/>
      <c r="F86" s="35" t="s">
        <v>24</v>
      </c>
      <c r="G86" s="20"/>
      <c r="H86" s="37">
        <v>0.064105625</v>
      </c>
      <c r="I86" s="38">
        <v>85</v>
      </c>
    </row>
    <row r="87" spans="1:9" ht="15">
      <c r="A87" s="35">
        <v>86</v>
      </c>
      <c r="B87" s="35" t="s">
        <v>169</v>
      </c>
      <c r="C87" s="35" t="s">
        <v>71</v>
      </c>
      <c r="D87" s="35" t="s">
        <v>43</v>
      </c>
      <c r="E87" s="23"/>
      <c r="F87" s="35" t="s">
        <v>21</v>
      </c>
      <c r="G87" s="21"/>
      <c r="H87" s="37">
        <v>0.07024944444444442</v>
      </c>
      <c r="I87" s="38">
        <v>86</v>
      </c>
    </row>
    <row r="88" spans="1:9" ht="15">
      <c r="A88" s="35">
        <v>87</v>
      </c>
      <c r="B88" s="35" t="s">
        <v>204</v>
      </c>
      <c r="C88" s="35" t="s">
        <v>33</v>
      </c>
      <c r="D88" s="36" t="s">
        <v>43</v>
      </c>
      <c r="E88" s="23"/>
      <c r="F88" s="35" t="s">
        <v>39</v>
      </c>
      <c r="G88" s="21"/>
      <c r="H88" s="37">
        <v>0.06087458333333331</v>
      </c>
      <c r="I88" s="38">
        <v>87</v>
      </c>
    </row>
    <row r="89" spans="1:9" ht="15">
      <c r="A89" s="35">
        <v>88</v>
      </c>
      <c r="B89" s="35" t="s">
        <v>205</v>
      </c>
      <c r="C89" s="35" t="s">
        <v>65</v>
      </c>
      <c r="D89" s="36" t="s">
        <v>206</v>
      </c>
      <c r="E89" s="24"/>
      <c r="F89" s="35" t="s">
        <v>67</v>
      </c>
      <c r="G89" s="19"/>
      <c r="H89" s="37">
        <v>0.06041092592592592</v>
      </c>
      <c r="I89" s="38">
        <v>88</v>
      </c>
    </row>
    <row r="90" spans="1:9" ht="15">
      <c r="A90" s="35">
        <v>89</v>
      </c>
      <c r="B90" s="35" t="s">
        <v>169</v>
      </c>
      <c r="C90" s="35" t="s">
        <v>150</v>
      </c>
      <c r="D90" s="36" t="s">
        <v>207</v>
      </c>
      <c r="E90" s="24"/>
      <c r="F90" s="35" t="s">
        <v>28</v>
      </c>
      <c r="G90" s="21"/>
      <c r="H90" s="37">
        <v>0.04980949074074071</v>
      </c>
      <c r="I90" s="38">
        <v>89</v>
      </c>
    </row>
    <row r="91" spans="1:9" ht="15">
      <c r="A91" s="35">
        <v>90</v>
      </c>
      <c r="B91" s="35" t="s">
        <v>208</v>
      </c>
      <c r="C91" s="35" t="s">
        <v>209</v>
      </c>
      <c r="D91" s="34"/>
      <c r="E91" s="23"/>
      <c r="F91" s="35" t="s">
        <v>56</v>
      </c>
      <c r="G91" s="19"/>
      <c r="H91" s="37">
        <v>0.05903160879629631</v>
      </c>
      <c r="I91" s="38">
        <v>90</v>
      </c>
    </row>
    <row r="92" spans="1:9" ht="15">
      <c r="A92" s="35">
        <v>91</v>
      </c>
      <c r="B92" s="35" t="s">
        <v>210</v>
      </c>
      <c r="C92" s="35" t="s">
        <v>106</v>
      </c>
      <c r="D92" s="84" t="s">
        <v>378</v>
      </c>
      <c r="E92" s="23"/>
      <c r="F92" s="35" t="s">
        <v>67</v>
      </c>
      <c r="G92" s="19"/>
      <c r="H92" s="37">
        <v>0.05411469907407412</v>
      </c>
      <c r="I92" s="38">
        <v>91</v>
      </c>
    </row>
    <row r="93" spans="1:9" ht="15">
      <c r="A93" s="35">
        <v>92</v>
      </c>
      <c r="B93" s="35" t="s">
        <v>183</v>
      </c>
      <c r="C93" s="35" t="s">
        <v>137</v>
      </c>
      <c r="D93" s="35" t="s">
        <v>43</v>
      </c>
      <c r="F93" s="35" t="s">
        <v>24</v>
      </c>
      <c r="H93" s="37">
        <v>0.07378129629629632</v>
      </c>
      <c r="I93" s="38">
        <v>92</v>
      </c>
    </row>
    <row r="94" spans="1:9" ht="15">
      <c r="A94" s="35">
        <v>93</v>
      </c>
      <c r="B94" s="35" t="s">
        <v>211</v>
      </c>
      <c r="C94" s="35" t="s">
        <v>212</v>
      </c>
      <c r="D94" s="36" t="s">
        <v>100</v>
      </c>
      <c r="F94" s="35" t="s">
        <v>56</v>
      </c>
      <c r="H94" s="37">
        <v>0.05775060185185182</v>
      </c>
      <c r="I94" s="38">
        <v>93</v>
      </c>
    </row>
    <row r="95" spans="1:9" ht="15">
      <c r="A95" s="35">
        <v>94</v>
      </c>
      <c r="B95" s="35" t="s">
        <v>213</v>
      </c>
      <c r="C95" s="35" t="s">
        <v>37</v>
      </c>
      <c r="D95" s="35" t="s">
        <v>214</v>
      </c>
      <c r="F95" s="35" t="s">
        <v>56</v>
      </c>
      <c r="H95" s="37">
        <v>0.06212708333333331</v>
      </c>
      <c r="I95" s="38">
        <v>94</v>
      </c>
    </row>
    <row r="96" spans="1:9" ht="15">
      <c r="A96" s="35">
        <v>95</v>
      </c>
      <c r="B96" s="35" t="s">
        <v>215</v>
      </c>
      <c r="C96" s="35" t="s">
        <v>228</v>
      </c>
      <c r="D96" s="35" t="s">
        <v>214</v>
      </c>
      <c r="F96" s="35" t="s">
        <v>21</v>
      </c>
      <c r="H96" s="37">
        <v>0.061709849537037016</v>
      </c>
      <c r="I96" s="38">
        <v>95</v>
      </c>
    </row>
    <row r="97" spans="1:9" ht="15">
      <c r="A97" s="35">
        <v>96</v>
      </c>
      <c r="B97" s="35" t="s">
        <v>216</v>
      </c>
      <c r="C97" s="35" t="s">
        <v>30</v>
      </c>
      <c r="D97" s="35" t="s">
        <v>217</v>
      </c>
      <c r="F97" s="35" t="s">
        <v>21</v>
      </c>
      <c r="H97" s="37">
        <v>0.05949689814814812</v>
      </c>
      <c r="I97" s="38">
        <v>96</v>
      </c>
    </row>
    <row r="98" spans="1:9" ht="15">
      <c r="A98" s="35">
        <v>97</v>
      </c>
      <c r="B98" s="35" t="s">
        <v>218</v>
      </c>
      <c r="C98" s="35" t="s">
        <v>26</v>
      </c>
      <c r="D98" s="35" t="s">
        <v>219</v>
      </c>
      <c r="F98" s="35" t="s">
        <v>21</v>
      </c>
      <c r="H98" s="37" t="s">
        <v>230</v>
      </c>
      <c r="I98" s="38"/>
    </row>
    <row r="99" spans="1:9" ht="15">
      <c r="A99" s="35">
        <v>98</v>
      </c>
      <c r="B99" s="35" t="s">
        <v>220</v>
      </c>
      <c r="C99" s="35" t="s">
        <v>221</v>
      </c>
      <c r="D99" s="35" t="s">
        <v>222</v>
      </c>
      <c r="F99" s="35" t="s">
        <v>21</v>
      </c>
      <c r="H99" s="37">
        <v>0.06376526620370371</v>
      </c>
      <c r="I99" s="38">
        <v>98</v>
      </c>
    </row>
    <row r="100" spans="1:9" ht="15">
      <c r="A100" s="35">
        <v>99</v>
      </c>
      <c r="B100" s="35" t="s">
        <v>223</v>
      </c>
      <c r="C100" s="35" t="s">
        <v>224</v>
      </c>
      <c r="D100" s="35" t="s">
        <v>114</v>
      </c>
      <c r="F100" s="35" t="s">
        <v>35</v>
      </c>
      <c r="H100" s="37">
        <v>0.05981162037037042</v>
      </c>
      <c r="I100" s="38">
        <v>99</v>
      </c>
    </row>
    <row r="101" spans="1:9" ht="15">
      <c r="A101" s="35">
        <v>100</v>
      </c>
      <c r="B101" s="35" t="s">
        <v>223</v>
      </c>
      <c r="C101" s="35" t="s">
        <v>225</v>
      </c>
      <c r="D101" s="35" t="s">
        <v>114</v>
      </c>
      <c r="F101" s="35" t="s">
        <v>35</v>
      </c>
      <c r="H101" s="37">
        <v>0.059467928240740715</v>
      </c>
      <c r="I101" s="38">
        <v>100</v>
      </c>
    </row>
    <row r="102" spans="1:9" ht="15">
      <c r="A102" s="35">
        <v>101</v>
      </c>
      <c r="B102" s="35" t="s">
        <v>226</v>
      </c>
      <c r="C102" s="35" t="s">
        <v>227</v>
      </c>
      <c r="D102" s="36"/>
      <c r="F102" s="35" t="s">
        <v>67</v>
      </c>
      <c r="H102" s="37">
        <v>0.08618899305555511</v>
      </c>
      <c r="I102" s="38">
        <v>101</v>
      </c>
    </row>
    <row r="103" spans="1:6" ht="15">
      <c r="A103" s="35"/>
      <c r="B103" s="35"/>
      <c r="C103" s="35"/>
      <c r="D103" s="35"/>
      <c r="F103" s="35"/>
    </row>
    <row r="104" spans="1:6" ht="15">
      <c r="A104" s="35"/>
      <c r="B104" s="35"/>
      <c r="C104" s="35"/>
      <c r="D104" s="35"/>
      <c r="F104" s="35"/>
    </row>
    <row r="105" spans="1:6" ht="15">
      <c r="A105" s="35"/>
      <c r="B105" s="35"/>
      <c r="C105" s="35"/>
      <c r="D105" s="35"/>
      <c r="F105" s="35"/>
    </row>
    <row r="106" spans="1:6" ht="15">
      <c r="A106" s="35"/>
      <c r="B106" s="35"/>
      <c r="C106" s="35"/>
      <c r="D106" s="35"/>
      <c r="F106" s="35"/>
    </row>
    <row r="107" spans="1:6" ht="15">
      <c r="A107" s="35"/>
      <c r="B107" s="35"/>
      <c r="C107" s="35"/>
      <c r="D107" s="34"/>
      <c r="F107" s="35"/>
    </row>
    <row r="108" spans="1:6" ht="15">
      <c r="A108" s="35"/>
      <c r="B108" s="35"/>
      <c r="C108" s="35"/>
      <c r="D108" s="35"/>
      <c r="F108" s="35"/>
    </row>
    <row r="109" spans="1:6" ht="15">
      <c r="A109" s="35"/>
      <c r="B109" s="35"/>
      <c r="C109" s="35"/>
      <c r="D109" s="35"/>
      <c r="F109" s="35"/>
    </row>
    <row r="110" spans="1:6" ht="15">
      <c r="A110" s="35"/>
      <c r="B110" s="35"/>
      <c r="C110" s="35"/>
      <c r="D110" s="34"/>
      <c r="F110" s="35"/>
    </row>
    <row r="111" spans="1:6" ht="15">
      <c r="A111" s="35"/>
      <c r="B111" s="35"/>
      <c r="C111" s="35"/>
      <c r="D111" s="35"/>
      <c r="F111" s="35"/>
    </row>
    <row r="112" spans="1:6" ht="15">
      <c r="A112" s="35"/>
      <c r="B112" s="35"/>
      <c r="C112" s="35"/>
      <c r="D112" s="35"/>
      <c r="F112" s="35"/>
    </row>
    <row r="113" spans="1:6" ht="15">
      <c r="A113" s="35"/>
      <c r="B113" s="35"/>
      <c r="C113" s="35"/>
      <c r="D113" s="35"/>
      <c r="F113" s="35"/>
    </row>
    <row r="114" spans="1:6" ht="15">
      <c r="A114" s="35"/>
      <c r="B114" s="35"/>
      <c r="C114" s="35"/>
      <c r="D114" s="35"/>
      <c r="F114" s="35"/>
    </row>
    <row r="115" spans="1:6" ht="15">
      <c r="A115" s="35"/>
      <c r="B115" s="35"/>
      <c r="C115" s="35"/>
      <c r="D115" s="35"/>
      <c r="F115" s="35"/>
    </row>
    <row r="116" spans="1:6" ht="15">
      <c r="A116" s="35"/>
      <c r="B116" s="35"/>
      <c r="C116" s="35"/>
      <c r="D116" s="35"/>
      <c r="F116" s="35"/>
    </row>
    <row r="117" spans="1:6" ht="15">
      <c r="A117" s="35"/>
      <c r="B117" s="35"/>
      <c r="C117" s="35"/>
      <c r="D117" s="34"/>
      <c r="F117" s="35"/>
    </row>
    <row r="118" spans="1:6" ht="15">
      <c r="A118" s="35"/>
      <c r="B118" s="35"/>
      <c r="C118" s="35"/>
      <c r="D118" s="34"/>
      <c r="F118" s="35"/>
    </row>
    <row r="119" spans="1:6" ht="15">
      <c r="A119" s="35"/>
      <c r="B119" s="35"/>
      <c r="C119" s="35"/>
      <c r="D119" s="35"/>
      <c r="F119" s="35"/>
    </row>
    <row r="120" spans="1:6" ht="15">
      <c r="A120" s="35"/>
      <c r="B120" s="35"/>
      <c r="C120" s="35"/>
      <c r="D120" s="35"/>
      <c r="F120" s="35"/>
    </row>
    <row r="121" spans="1:6" ht="15">
      <c r="A121" s="35"/>
      <c r="B121" s="35"/>
      <c r="C121" s="35"/>
      <c r="D121" s="35"/>
      <c r="F121" s="35"/>
    </row>
    <row r="122" spans="1:6" ht="15">
      <c r="A122" s="35"/>
      <c r="B122" s="35"/>
      <c r="C122" s="35"/>
      <c r="D122" s="35"/>
      <c r="F122" s="35"/>
    </row>
    <row r="123" spans="1:6" ht="15">
      <c r="A123" s="35"/>
      <c r="B123" s="35"/>
      <c r="C123" s="35"/>
      <c r="D123" s="34"/>
      <c r="F123" s="35"/>
    </row>
    <row r="124" spans="1:6" ht="15">
      <c r="A124" s="35"/>
      <c r="B124" s="35"/>
      <c r="C124" s="35"/>
      <c r="D124" s="35"/>
      <c r="F124" s="35"/>
    </row>
    <row r="125" spans="1:6" ht="15">
      <c r="A125" s="35"/>
      <c r="B125" s="35"/>
      <c r="C125" s="35"/>
      <c r="D125" s="35"/>
      <c r="F125" s="35"/>
    </row>
  </sheetData>
  <sheetProtection/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28125" style="67" bestFit="1" customWidth="1"/>
    <col min="2" max="2" width="9.421875" style="67" bestFit="1" customWidth="1"/>
    <col min="3" max="3" width="11.00390625" style="67" bestFit="1" customWidth="1"/>
    <col min="4" max="4" width="31.57421875" style="67" bestFit="1" customWidth="1"/>
    <col min="5" max="5" width="19.7109375" style="67" bestFit="1" customWidth="1"/>
    <col min="6" max="6" width="25.140625" style="67" bestFit="1" customWidth="1"/>
    <col min="7" max="7" width="18.421875" style="70" bestFit="1" customWidth="1"/>
    <col min="8" max="8" width="11.421875" style="67" bestFit="1" customWidth="1"/>
    <col min="9" max="9" width="10.8515625" style="67" bestFit="1" customWidth="1"/>
    <col min="10" max="16384" width="9.140625" style="67" customWidth="1"/>
  </cols>
  <sheetData>
    <row r="1" spans="1:9" ht="12.75">
      <c r="A1" s="99" t="s">
        <v>233</v>
      </c>
      <c r="B1" s="99"/>
      <c r="C1" s="99"/>
      <c r="D1" s="99"/>
      <c r="E1" s="99"/>
      <c r="F1" s="99"/>
      <c r="G1" s="99"/>
      <c r="H1" s="99"/>
      <c r="I1" s="99"/>
    </row>
    <row r="2" spans="1:9" ht="13.5" thickBot="1">
      <c r="A2" s="41" t="s">
        <v>234</v>
      </c>
      <c r="B2" s="41" t="s">
        <v>10</v>
      </c>
      <c r="C2" s="41" t="s">
        <v>11</v>
      </c>
      <c r="D2" s="41" t="s">
        <v>235</v>
      </c>
      <c r="E2" s="41" t="s">
        <v>13</v>
      </c>
      <c r="F2" s="41" t="s">
        <v>236</v>
      </c>
      <c r="G2" s="41" t="s">
        <v>237</v>
      </c>
      <c r="H2" s="41" t="s">
        <v>238</v>
      </c>
      <c r="I2" s="41" t="s">
        <v>239</v>
      </c>
    </row>
    <row r="3" spans="1:9" ht="15.75" thickTop="1">
      <c r="A3" s="71">
        <v>1</v>
      </c>
      <c r="B3" s="72" t="s">
        <v>30</v>
      </c>
      <c r="C3" s="72" t="s">
        <v>115</v>
      </c>
      <c r="D3" s="72" t="s">
        <v>116</v>
      </c>
      <c r="E3" s="75" t="s">
        <v>244</v>
      </c>
      <c r="F3" s="74">
        <v>30</v>
      </c>
      <c r="G3" s="76">
        <v>30</v>
      </c>
      <c r="H3" s="76"/>
      <c r="I3" s="42">
        <f>+F3+G3+H3</f>
        <v>60</v>
      </c>
    </row>
    <row r="4" spans="1:9" ht="15.75">
      <c r="A4" s="43">
        <v>2</v>
      </c>
      <c r="B4" s="44" t="s">
        <v>106</v>
      </c>
      <c r="C4" s="44" t="s">
        <v>210</v>
      </c>
      <c r="D4" s="46" t="s">
        <v>378</v>
      </c>
      <c r="E4" s="51" t="s">
        <v>242</v>
      </c>
      <c r="F4" s="43">
        <v>25</v>
      </c>
      <c r="G4" s="47">
        <f>30/20*12</f>
        <v>18</v>
      </c>
      <c r="H4" s="47"/>
      <c r="I4" s="48">
        <f>+F4+G4+H4</f>
        <v>43</v>
      </c>
    </row>
    <row r="5" spans="1:9" ht="15.75">
      <c r="A5" s="43">
        <v>3</v>
      </c>
      <c r="B5" s="49" t="s">
        <v>202</v>
      </c>
      <c r="C5" s="49" t="s">
        <v>201</v>
      </c>
      <c r="D5" s="49" t="s">
        <v>203</v>
      </c>
      <c r="E5" s="50" t="s">
        <v>246</v>
      </c>
      <c r="F5" s="43">
        <f>25/20*19</f>
        <v>23.75</v>
      </c>
      <c r="G5" s="53">
        <f>21/20*15</f>
        <v>15.75</v>
      </c>
      <c r="H5" s="47"/>
      <c r="I5" s="48">
        <f>+F5+G5+H5</f>
        <v>39.5</v>
      </c>
    </row>
    <row r="6" spans="1:9" ht="15">
      <c r="A6" s="43">
        <v>4</v>
      </c>
      <c r="B6" s="55" t="s">
        <v>221</v>
      </c>
      <c r="C6" s="55" t="s">
        <v>220</v>
      </c>
      <c r="D6" s="55" t="s">
        <v>274</v>
      </c>
      <c r="E6" s="45" t="s">
        <v>244</v>
      </c>
      <c r="F6" s="60">
        <v>12</v>
      </c>
      <c r="G6" s="69">
        <v>21</v>
      </c>
      <c r="H6" s="69"/>
      <c r="I6" s="48">
        <f>+F6+G6+H6</f>
        <v>33</v>
      </c>
    </row>
    <row r="7" spans="1:9" ht="15">
      <c r="A7" s="43">
        <v>5</v>
      </c>
      <c r="B7" s="55" t="s">
        <v>199</v>
      </c>
      <c r="C7" s="55" t="s">
        <v>198</v>
      </c>
      <c r="D7" s="55" t="s">
        <v>200</v>
      </c>
      <c r="E7" s="45" t="s">
        <v>244</v>
      </c>
      <c r="F7" s="60">
        <v>13</v>
      </c>
      <c r="G7" s="69">
        <v>18</v>
      </c>
      <c r="H7" s="69"/>
      <c r="I7" s="48">
        <f>+F7+G7+H7</f>
        <v>31</v>
      </c>
    </row>
    <row r="8" spans="1:9" ht="15.75">
      <c r="A8" s="43">
        <v>6</v>
      </c>
      <c r="B8" s="44" t="s">
        <v>62</v>
      </c>
      <c r="C8" s="44" t="s">
        <v>61</v>
      </c>
      <c r="D8" s="49" t="s">
        <v>63</v>
      </c>
      <c r="E8" s="50" t="s">
        <v>256</v>
      </c>
      <c r="F8" s="43">
        <f>30/20*11</f>
        <v>16.5</v>
      </c>
      <c r="G8" s="47">
        <f>25/20*11</f>
        <v>13.75</v>
      </c>
      <c r="H8" s="47"/>
      <c r="I8" s="48">
        <f>+F8+G8+H8</f>
        <v>30.25</v>
      </c>
    </row>
    <row r="9" spans="1:9" ht="15.75">
      <c r="A9" s="43">
        <v>7</v>
      </c>
      <c r="B9" s="44" t="s">
        <v>240</v>
      </c>
      <c r="C9" s="44" t="s">
        <v>109</v>
      </c>
      <c r="D9" s="44" t="s">
        <v>241</v>
      </c>
      <c r="E9" s="51" t="s">
        <v>242</v>
      </c>
      <c r="F9" s="46">
        <v>30</v>
      </c>
      <c r="G9" s="47"/>
      <c r="H9" s="47"/>
      <c r="I9" s="48">
        <f>+F9+G9+H9</f>
        <v>30</v>
      </c>
    </row>
    <row r="10" spans="1:9" ht="15.75">
      <c r="A10" s="43">
        <v>8</v>
      </c>
      <c r="B10" s="49" t="s">
        <v>150</v>
      </c>
      <c r="C10" s="77" t="s">
        <v>324</v>
      </c>
      <c r="D10" s="49" t="s">
        <v>245</v>
      </c>
      <c r="E10" s="50" t="s">
        <v>246</v>
      </c>
      <c r="F10" s="43">
        <f>30/20*19</f>
        <v>28.5</v>
      </c>
      <c r="G10" s="61"/>
      <c r="H10" s="47"/>
      <c r="I10" s="48">
        <f>+F10+G10+H10</f>
        <v>28.5</v>
      </c>
    </row>
    <row r="11" spans="1:9" ht="15">
      <c r="A11" s="43">
        <v>9</v>
      </c>
      <c r="B11" s="55" t="s">
        <v>103</v>
      </c>
      <c r="C11" s="55" t="s">
        <v>51</v>
      </c>
      <c r="D11" s="55" t="s">
        <v>184</v>
      </c>
      <c r="E11" s="45" t="s">
        <v>244</v>
      </c>
      <c r="F11" s="60">
        <v>18</v>
      </c>
      <c r="G11" s="69">
        <v>10</v>
      </c>
      <c r="H11" s="69"/>
      <c r="I11" s="48">
        <f>+F11+G11+H11</f>
        <v>28</v>
      </c>
    </row>
    <row r="12" spans="1:9" ht="15">
      <c r="A12" s="43">
        <v>10</v>
      </c>
      <c r="B12" s="55" t="s">
        <v>247</v>
      </c>
      <c r="C12" s="55" t="s">
        <v>201</v>
      </c>
      <c r="D12" s="55" t="s">
        <v>248</v>
      </c>
      <c r="E12" s="45" t="s">
        <v>244</v>
      </c>
      <c r="F12" s="60">
        <v>25</v>
      </c>
      <c r="G12" s="69"/>
      <c r="H12" s="69"/>
      <c r="I12" s="48">
        <f>+F12+G12+H12</f>
        <v>25</v>
      </c>
    </row>
    <row r="13" spans="1:9" ht="15">
      <c r="A13" s="43">
        <v>10</v>
      </c>
      <c r="B13" s="60" t="s">
        <v>26</v>
      </c>
      <c r="C13" s="60" t="s">
        <v>110</v>
      </c>
      <c r="D13" s="60" t="s">
        <v>111</v>
      </c>
      <c r="E13" s="45" t="s">
        <v>244</v>
      </c>
      <c r="F13" s="60"/>
      <c r="G13" s="53">
        <v>25</v>
      </c>
      <c r="H13" s="60"/>
      <c r="I13" s="48">
        <f>+F13+G13+H13</f>
        <v>25</v>
      </c>
    </row>
    <row r="14" spans="1:9" ht="15.75">
      <c r="A14" s="43">
        <v>12</v>
      </c>
      <c r="B14" s="49" t="s">
        <v>103</v>
      </c>
      <c r="C14" s="49" t="s">
        <v>151</v>
      </c>
      <c r="D14" s="49" t="s">
        <v>153</v>
      </c>
      <c r="E14" s="50" t="s">
        <v>246</v>
      </c>
      <c r="F14" s="43">
        <f>14/20*19</f>
        <v>13.299999999999999</v>
      </c>
      <c r="G14" s="53">
        <f>15/20*15</f>
        <v>11.25</v>
      </c>
      <c r="H14" s="47"/>
      <c r="I14" s="48">
        <f>+F14+G14+H14</f>
        <v>24.549999999999997</v>
      </c>
    </row>
    <row r="15" spans="1:9" ht="15">
      <c r="A15" s="43">
        <v>13</v>
      </c>
      <c r="B15" s="60" t="s">
        <v>65</v>
      </c>
      <c r="C15" s="60" t="s">
        <v>128</v>
      </c>
      <c r="D15" s="60" t="s">
        <v>129</v>
      </c>
      <c r="E15" s="56" t="s">
        <v>246</v>
      </c>
      <c r="F15" s="60"/>
      <c r="G15" s="53">
        <f>30/20*15</f>
        <v>22.5</v>
      </c>
      <c r="H15" s="60"/>
      <c r="I15" s="48">
        <f>+F15+G15+H15</f>
        <v>22.5</v>
      </c>
    </row>
    <row r="16" spans="1:9" ht="15">
      <c r="A16" s="43">
        <v>14</v>
      </c>
      <c r="B16" s="55" t="s">
        <v>26</v>
      </c>
      <c r="C16" s="55" t="s">
        <v>250</v>
      </c>
      <c r="D16" s="55" t="s">
        <v>251</v>
      </c>
      <c r="E16" s="45" t="s">
        <v>244</v>
      </c>
      <c r="F16" s="60">
        <v>21</v>
      </c>
      <c r="G16" s="69"/>
      <c r="H16" s="69"/>
      <c r="I16" s="48">
        <f>+F16+G16+H16</f>
        <v>21</v>
      </c>
    </row>
    <row r="17" spans="1:9" ht="15.75">
      <c r="A17" s="43">
        <v>14</v>
      </c>
      <c r="B17" s="78" t="s">
        <v>326</v>
      </c>
      <c r="C17" s="78" t="s">
        <v>325</v>
      </c>
      <c r="D17" s="52" t="s">
        <v>249</v>
      </c>
      <c r="E17" s="51" t="s">
        <v>242</v>
      </c>
      <c r="F17" s="43">
        <v>21</v>
      </c>
      <c r="G17" s="47"/>
      <c r="H17" s="47"/>
      <c r="I17" s="48">
        <f>+F17+G17+H17</f>
        <v>21</v>
      </c>
    </row>
    <row r="18" spans="1:9" ht="15.75">
      <c r="A18" s="43">
        <v>16</v>
      </c>
      <c r="B18" s="49" t="s">
        <v>144</v>
      </c>
      <c r="C18" s="49" t="s">
        <v>252</v>
      </c>
      <c r="D18" s="49" t="s">
        <v>253</v>
      </c>
      <c r="E18" s="50" t="s">
        <v>246</v>
      </c>
      <c r="F18" s="43">
        <f>21/20*19</f>
        <v>19.95</v>
      </c>
      <c r="G18" s="61"/>
      <c r="H18" s="47"/>
      <c r="I18" s="48">
        <f>+F18+G18+H18</f>
        <v>19.95</v>
      </c>
    </row>
    <row r="19" spans="1:9" ht="15.75">
      <c r="A19" s="43">
        <v>17</v>
      </c>
      <c r="B19" s="44" t="s">
        <v>178</v>
      </c>
      <c r="C19" s="44" t="s">
        <v>284</v>
      </c>
      <c r="D19" s="49" t="s">
        <v>285</v>
      </c>
      <c r="E19" s="50" t="s">
        <v>256</v>
      </c>
      <c r="F19" s="43">
        <f>18/20*11</f>
        <v>9.9</v>
      </c>
      <c r="G19" s="47">
        <f>18/20*11</f>
        <v>9.9</v>
      </c>
      <c r="H19" s="47"/>
      <c r="I19" s="48">
        <f>+F19+G19+H19</f>
        <v>19.8</v>
      </c>
    </row>
    <row r="20" spans="1:9" ht="15">
      <c r="A20" s="43">
        <v>18</v>
      </c>
      <c r="B20" s="60" t="s">
        <v>99</v>
      </c>
      <c r="C20" s="60" t="s">
        <v>98</v>
      </c>
      <c r="D20" s="60" t="s">
        <v>100</v>
      </c>
      <c r="E20" s="56" t="s">
        <v>246</v>
      </c>
      <c r="F20" s="60"/>
      <c r="G20" s="53">
        <f>25/20*15</f>
        <v>18.75</v>
      </c>
      <c r="H20" s="60"/>
      <c r="I20" s="48">
        <f>+F20+G20+H20</f>
        <v>18.75</v>
      </c>
    </row>
    <row r="21" spans="1:9" ht="15.75">
      <c r="A21" s="43">
        <v>19</v>
      </c>
      <c r="B21" s="78" t="s">
        <v>62</v>
      </c>
      <c r="C21" s="78" t="s">
        <v>327</v>
      </c>
      <c r="D21" s="44" t="s">
        <v>254</v>
      </c>
      <c r="E21" s="51" t="s">
        <v>242</v>
      </c>
      <c r="F21" s="43">
        <v>18</v>
      </c>
      <c r="G21" s="47"/>
      <c r="H21" s="47"/>
      <c r="I21" s="48">
        <f>+F21+G21+H21</f>
        <v>18</v>
      </c>
    </row>
    <row r="22" spans="1:9" ht="15.75">
      <c r="A22" s="43">
        <v>20</v>
      </c>
      <c r="B22" s="77" t="s">
        <v>71</v>
      </c>
      <c r="C22" s="77" t="s">
        <v>328</v>
      </c>
      <c r="D22" s="43" t="s">
        <v>255</v>
      </c>
      <c r="E22" s="50" t="s">
        <v>246</v>
      </c>
      <c r="F22" s="43">
        <f>18/20*19</f>
        <v>17.1</v>
      </c>
      <c r="G22" s="61"/>
      <c r="H22" s="47"/>
      <c r="I22" s="48">
        <f>+F22+G22+H22</f>
        <v>17.1</v>
      </c>
    </row>
    <row r="23" spans="1:9" ht="15">
      <c r="A23" s="43">
        <v>21</v>
      </c>
      <c r="B23" s="60" t="s">
        <v>25</v>
      </c>
      <c r="C23" s="60" t="s">
        <v>26</v>
      </c>
      <c r="D23" s="60" t="s">
        <v>27</v>
      </c>
      <c r="E23" s="60" t="s">
        <v>256</v>
      </c>
      <c r="F23" s="60"/>
      <c r="G23" s="60">
        <f>30/20*11</f>
        <v>16.5</v>
      </c>
      <c r="H23" s="57"/>
      <c r="I23" s="48">
        <f>+F23+G23+H23</f>
        <v>16.5</v>
      </c>
    </row>
    <row r="24" spans="1:9" ht="15.75">
      <c r="A24" s="43">
        <v>22</v>
      </c>
      <c r="B24" s="78" t="s">
        <v>30</v>
      </c>
      <c r="C24" s="78" t="s">
        <v>75</v>
      </c>
      <c r="D24" s="44" t="s">
        <v>257</v>
      </c>
      <c r="E24" s="51" t="s">
        <v>242</v>
      </c>
      <c r="F24" s="43">
        <v>16</v>
      </c>
      <c r="G24" s="47"/>
      <c r="H24" s="47"/>
      <c r="I24" s="48">
        <f>+F24+G24+H24</f>
        <v>16</v>
      </c>
    </row>
    <row r="25" spans="1:9" ht="15">
      <c r="A25" s="43">
        <v>22</v>
      </c>
      <c r="B25" s="60" t="s">
        <v>103</v>
      </c>
      <c r="C25" s="60" t="s">
        <v>102</v>
      </c>
      <c r="D25" s="60" t="s">
        <v>104</v>
      </c>
      <c r="E25" s="45" t="s">
        <v>244</v>
      </c>
      <c r="F25" s="60"/>
      <c r="G25" s="60">
        <v>16</v>
      </c>
      <c r="H25" s="60"/>
      <c r="I25" s="48">
        <f>+F25+G25+H25</f>
        <v>16</v>
      </c>
    </row>
    <row r="26" spans="1:9" ht="15">
      <c r="A26" s="43">
        <v>22</v>
      </c>
      <c r="B26" s="55" t="s">
        <v>93</v>
      </c>
      <c r="C26" s="55" t="s">
        <v>92</v>
      </c>
      <c r="D26" s="55" t="s">
        <v>85</v>
      </c>
      <c r="E26" s="45" t="s">
        <v>244</v>
      </c>
      <c r="F26" s="60">
        <v>16</v>
      </c>
      <c r="G26" s="69"/>
      <c r="H26" s="69"/>
      <c r="I26" s="48">
        <f>+F26+G26+H26</f>
        <v>16</v>
      </c>
    </row>
    <row r="27" spans="1:9" ht="15.75">
      <c r="A27" s="43">
        <v>25</v>
      </c>
      <c r="B27" s="77" t="s">
        <v>26</v>
      </c>
      <c r="C27" s="77" t="s">
        <v>78</v>
      </c>
      <c r="D27" s="49" t="s">
        <v>289</v>
      </c>
      <c r="E27" s="50" t="s">
        <v>246</v>
      </c>
      <c r="F27" s="43">
        <f>9/20*19</f>
        <v>8.55</v>
      </c>
      <c r="G27" s="53">
        <f>9/20*15</f>
        <v>6.75</v>
      </c>
      <c r="H27" s="47"/>
      <c r="I27" s="48">
        <f>+F27+G27+H27</f>
        <v>15.3</v>
      </c>
    </row>
    <row r="28" spans="1:9" ht="15.75">
      <c r="A28" s="43">
        <v>26</v>
      </c>
      <c r="B28" s="49" t="s">
        <v>243</v>
      </c>
      <c r="C28" s="49" t="s">
        <v>258</v>
      </c>
      <c r="D28" s="43" t="s">
        <v>259</v>
      </c>
      <c r="E28" s="50" t="s">
        <v>246</v>
      </c>
      <c r="F28" s="43">
        <f>16/20*19</f>
        <v>15.200000000000001</v>
      </c>
      <c r="G28" s="61"/>
      <c r="H28" s="47"/>
      <c r="I28" s="48">
        <f>+F28+G28+H28</f>
        <v>15.200000000000001</v>
      </c>
    </row>
    <row r="29" spans="1:9" ht="15">
      <c r="A29" s="43">
        <v>27</v>
      </c>
      <c r="B29" s="55" t="s">
        <v>30</v>
      </c>
      <c r="C29" s="55" t="s">
        <v>143</v>
      </c>
      <c r="D29" s="55" t="s">
        <v>197</v>
      </c>
      <c r="E29" s="55" t="s">
        <v>242</v>
      </c>
      <c r="F29" s="55"/>
      <c r="G29" s="55">
        <f>25/20*12</f>
        <v>15</v>
      </c>
      <c r="H29" s="55"/>
      <c r="I29" s="63">
        <f>+F29+G29+H29</f>
        <v>15</v>
      </c>
    </row>
    <row r="30" spans="1:9" ht="15">
      <c r="A30" s="43">
        <v>27</v>
      </c>
      <c r="B30" s="60" t="s">
        <v>228</v>
      </c>
      <c r="C30" s="60" t="s">
        <v>215</v>
      </c>
      <c r="D30" s="60" t="s">
        <v>214</v>
      </c>
      <c r="E30" s="45" t="s">
        <v>244</v>
      </c>
      <c r="F30" s="60"/>
      <c r="G30" s="60">
        <v>15</v>
      </c>
      <c r="H30" s="60"/>
      <c r="I30" s="48">
        <f>+F30+G30+H30</f>
        <v>15</v>
      </c>
    </row>
    <row r="31" spans="1:9" ht="15.75">
      <c r="A31" s="43">
        <v>27</v>
      </c>
      <c r="B31" s="44" t="s">
        <v>30</v>
      </c>
      <c r="C31" s="44" t="s">
        <v>260</v>
      </c>
      <c r="D31" s="44" t="s">
        <v>261</v>
      </c>
      <c r="E31" s="51" t="s">
        <v>242</v>
      </c>
      <c r="F31" s="43">
        <v>15</v>
      </c>
      <c r="G31" s="47"/>
      <c r="H31" s="47"/>
      <c r="I31" s="48">
        <f>+F31+G31+H31</f>
        <v>15</v>
      </c>
    </row>
    <row r="32" spans="1:9" ht="15">
      <c r="A32" s="43">
        <v>27</v>
      </c>
      <c r="B32" s="55" t="s">
        <v>190</v>
      </c>
      <c r="C32" s="55" t="s">
        <v>380</v>
      </c>
      <c r="D32" s="68"/>
      <c r="E32" s="45" t="s">
        <v>244</v>
      </c>
      <c r="F32" s="60">
        <v>15</v>
      </c>
      <c r="G32" s="69"/>
      <c r="H32" s="69"/>
      <c r="I32" s="48">
        <f>+F32+G32+H32</f>
        <v>15</v>
      </c>
    </row>
    <row r="33" spans="1:9" ht="15.75">
      <c r="A33" s="43">
        <v>31</v>
      </c>
      <c r="B33" s="44" t="s">
        <v>62</v>
      </c>
      <c r="C33" s="44" t="s">
        <v>96</v>
      </c>
      <c r="D33" s="44" t="s">
        <v>97</v>
      </c>
      <c r="E33" s="51" t="s">
        <v>242</v>
      </c>
      <c r="F33" s="43">
        <v>7</v>
      </c>
      <c r="G33" s="47">
        <f>13/20*12</f>
        <v>7.800000000000001</v>
      </c>
      <c r="H33" s="47"/>
      <c r="I33" s="48">
        <f>+F33+G33+H33</f>
        <v>14.8</v>
      </c>
    </row>
    <row r="34" spans="1:9" ht="15.75">
      <c r="A34" s="43">
        <v>32</v>
      </c>
      <c r="B34" s="77" t="s">
        <v>65</v>
      </c>
      <c r="C34" s="49" t="s">
        <v>262</v>
      </c>
      <c r="D34" s="49" t="s">
        <v>263</v>
      </c>
      <c r="E34" s="50" t="s">
        <v>246</v>
      </c>
      <c r="F34" s="43">
        <f>15/20*19</f>
        <v>14.25</v>
      </c>
      <c r="G34" s="61"/>
      <c r="H34" s="47"/>
      <c r="I34" s="48">
        <f>+F34+G34+H34</f>
        <v>14.25</v>
      </c>
    </row>
    <row r="35" spans="1:9" ht="15.75">
      <c r="A35" s="43">
        <v>33</v>
      </c>
      <c r="B35" s="44" t="s">
        <v>264</v>
      </c>
      <c r="C35" s="44" t="s">
        <v>265</v>
      </c>
      <c r="D35" s="44" t="s">
        <v>38</v>
      </c>
      <c r="E35" s="51" t="s">
        <v>242</v>
      </c>
      <c r="F35" s="43">
        <v>14</v>
      </c>
      <c r="G35" s="47"/>
      <c r="H35" s="47"/>
      <c r="I35" s="48">
        <f>+F35+G35+H35</f>
        <v>14</v>
      </c>
    </row>
    <row r="36" spans="1:9" ht="15">
      <c r="A36" s="43">
        <v>33</v>
      </c>
      <c r="B36" s="60" t="s">
        <v>106</v>
      </c>
      <c r="C36" s="60" t="s">
        <v>113</v>
      </c>
      <c r="D36" s="60" t="s">
        <v>114</v>
      </c>
      <c r="E36" s="45" t="s">
        <v>244</v>
      </c>
      <c r="F36" s="60"/>
      <c r="G36" s="60">
        <v>14</v>
      </c>
      <c r="H36" s="60"/>
      <c r="I36" s="48">
        <f>+F36+G36+H36</f>
        <v>14</v>
      </c>
    </row>
    <row r="37" spans="1:9" ht="15">
      <c r="A37" s="43">
        <v>33</v>
      </c>
      <c r="B37" s="55" t="s">
        <v>93</v>
      </c>
      <c r="C37" s="55" t="s">
        <v>329</v>
      </c>
      <c r="D37" s="68" t="s">
        <v>266</v>
      </c>
      <c r="E37" s="45" t="s">
        <v>244</v>
      </c>
      <c r="F37" s="60">
        <v>14</v>
      </c>
      <c r="G37" s="69"/>
      <c r="H37" s="69"/>
      <c r="I37" s="48">
        <f>+F37+G37+H37</f>
        <v>14</v>
      </c>
    </row>
    <row r="38" spans="1:9" ht="15.75">
      <c r="A38" s="43">
        <v>36</v>
      </c>
      <c r="B38" s="44" t="s">
        <v>22</v>
      </c>
      <c r="C38" s="44" t="s">
        <v>267</v>
      </c>
      <c r="D38" s="49" t="s">
        <v>268</v>
      </c>
      <c r="E38" s="50" t="s">
        <v>256</v>
      </c>
      <c r="F38" s="43">
        <f>25/20*11</f>
        <v>13.75</v>
      </c>
      <c r="G38" s="47"/>
      <c r="H38" s="47"/>
      <c r="I38" s="48">
        <f>+F38+G38+H38</f>
        <v>13.75</v>
      </c>
    </row>
    <row r="39" spans="1:9" ht="15">
      <c r="A39" s="43">
        <v>37</v>
      </c>
      <c r="B39" s="60" t="s">
        <v>22</v>
      </c>
      <c r="C39" s="60" t="s">
        <v>23</v>
      </c>
      <c r="D39" s="60"/>
      <c r="E39" s="56" t="s">
        <v>246</v>
      </c>
      <c r="F39" s="60"/>
      <c r="G39" s="53">
        <f>18/20*15</f>
        <v>13.5</v>
      </c>
      <c r="H39" s="60"/>
      <c r="I39" s="48">
        <f>+F39+G39+H39</f>
        <v>13.5</v>
      </c>
    </row>
    <row r="40" spans="1:9" ht="15">
      <c r="A40" s="43">
        <v>38</v>
      </c>
      <c r="B40" s="53" t="s">
        <v>30</v>
      </c>
      <c r="C40" s="53" t="s">
        <v>301</v>
      </c>
      <c r="D40" s="53" t="s">
        <v>302</v>
      </c>
      <c r="E40" s="56" t="s">
        <v>246</v>
      </c>
      <c r="F40" s="57">
        <f>6/20*19</f>
        <v>5.7</v>
      </c>
      <c r="G40" s="53">
        <f>10/20*15</f>
        <v>7.5</v>
      </c>
      <c r="H40" s="57"/>
      <c r="I40" s="48">
        <f>+F40+G40+H40</f>
        <v>13.2</v>
      </c>
    </row>
    <row r="41" spans="1:9" ht="15.75">
      <c r="A41" s="43">
        <v>39</v>
      </c>
      <c r="B41" s="78" t="s">
        <v>330</v>
      </c>
      <c r="C41" s="78" t="s">
        <v>331</v>
      </c>
      <c r="D41" s="44" t="s">
        <v>269</v>
      </c>
      <c r="E41" s="51" t="s">
        <v>242</v>
      </c>
      <c r="F41" s="43">
        <v>13</v>
      </c>
      <c r="G41" s="47"/>
      <c r="H41" s="47"/>
      <c r="I41" s="48">
        <f>+F41+G41+H41</f>
        <v>13</v>
      </c>
    </row>
    <row r="42" spans="1:9" ht="15">
      <c r="A42" s="43">
        <v>39</v>
      </c>
      <c r="B42" s="60" t="s">
        <v>30</v>
      </c>
      <c r="C42" s="60" t="s">
        <v>154</v>
      </c>
      <c r="D42" s="60" t="s">
        <v>155</v>
      </c>
      <c r="E42" s="45" t="s">
        <v>244</v>
      </c>
      <c r="F42" s="60"/>
      <c r="G42" s="60">
        <v>13</v>
      </c>
      <c r="H42" s="60"/>
      <c r="I42" s="48">
        <f>+F42+G42+H42</f>
        <v>13</v>
      </c>
    </row>
    <row r="43" spans="1:9" ht="15.75">
      <c r="A43" s="43">
        <v>41</v>
      </c>
      <c r="B43" s="49" t="s">
        <v>137</v>
      </c>
      <c r="C43" s="49" t="s">
        <v>183</v>
      </c>
      <c r="D43" s="49" t="s">
        <v>43</v>
      </c>
      <c r="E43" s="50" t="s">
        <v>246</v>
      </c>
      <c r="F43" s="43">
        <f>8/20*19</f>
        <v>7.6000000000000005</v>
      </c>
      <c r="G43" s="64">
        <f>7/20*15</f>
        <v>5.25</v>
      </c>
      <c r="H43" s="43"/>
      <c r="I43" s="48">
        <f>+F43+G43+H43</f>
        <v>12.850000000000001</v>
      </c>
    </row>
    <row r="44" spans="1:9" ht="15">
      <c r="A44" s="43">
        <v>42</v>
      </c>
      <c r="B44" s="55" t="s">
        <v>30</v>
      </c>
      <c r="C44" s="55" t="s">
        <v>196</v>
      </c>
      <c r="D44" s="55" t="s">
        <v>197</v>
      </c>
      <c r="E44" s="55" t="s">
        <v>242</v>
      </c>
      <c r="F44" s="55"/>
      <c r="G44" s="55">
        <f>21/20*12</f>
        <v>12.600000000000001</v>
      </c>
      <c r="H44" s="55"/>
      <c r="I44" s="63">
        <f>+F44+G44+H44</f>
        <v>12.600000000000001</v>
      </c>
    </row>
    <row r="45" spans="1:9" ht="15.75">
      <c r="A45" s="43">
        <v>43</v>
      </c>
      <c r="B45" s="49" t="s">
        <v>22</v>
      </c>
      <c r="C45" s="49" t="s">
        <v>270</v>
      </c>
      <c r="D45" s="49" t="s">
        <v>271</v>
      </c>
      <c r="E45" s="50" t="s">
        <v>246</v>
      </c>
      <c r="F45" s="43">
        <f>13/20*19</f>
        <v>12.35</v>
      </c>
      <c r="G45" s="61"/>
      <c r="H45" s="47"/>
      <c r="I45" s="48">
        <f>+F45+G45+H45</f>
        <v>12.35</v>
      </c>
    </row>
    <row r="46" spans="1:9" ht="15">
      <c r="A46" s="43">
        <v>44</v>
      </c>
      <c r="B46" s="60" t="s">
        <v>93</v>
      </c>
      <c r="C46" s="60" t="s">
        <v>132</v>
      </c>
      <c r="D46" s="60" t="s">
        <v>85</v>
      </c>
      <c r="E46" s="45" t="s">
        <v>244</v>
      </c>
      <c r="F46" s="60"/>
      <c r="G46" s="60">
        <v>12</v>
      </c>
      <c r="H46" s="60"/>
      <c r="I46" s="48">
        <f>+F46+G46+H46</f>
        <v>12</v>
      </c>
    </row>
    <row r="47" spans="1:9" ht="15.75">
      <c r="A47" s="43">
        <v>44</v>
      </c>
      <c r="B47" s="44" t="s">
        <v>272</v>
      </c>
      <c r="C47" s="44" t="s">
        <v>273</v>
      </c>
      <c r="D47" s="46"/>
      <c r="E47" s="51" t="s">
        <v>242</v>
      </c>
      <c r="F47" s="43">
        <v>12</v>
      </c>
      <c r="G47" s="47"/>
      <c r="H47" s="47"/>
      <c r="I47" s="48">
        <f>+F47+G47+H47</f>
        <v>12</v>
      </c>
    </row>
    <row r="48" spans="1:9" ht="15">
      <c r="A48" s="43">
        <v>44</v>
      </c>
      <c r="B48" s="60" t="s">
        <v>59</v>
      </c>
      <c r="C48" s="60" t="s">
        <v>58</v>
      </c>
      <c r="D48" s="60" t="s">
        <v>60</v>
      </c>
      <c r="E48" s="56" t="s">
        <v>246</v>
      </c>
      <c r="F48" s="60"/>
      <c r="G48" s="53">
        <f>16/20*15</f>
        <v>12</v>
      </c>
      <c r="H48" s="60"/>
      <c r="I48" s="48">
        <f>+F48+G48+H48</f>
        <v>12</v>
      </c>
    </row>
    <row r="49" spans="1:9" ht="15">
      <c r="A49" s="43">
        <v>47</v>
      </c>
      <c r="B49" s="60" t="s">
        <v>169</v>
      </c>
      <c r="C49" s="60" t="s">
        <v>150</v>
      </c>
      <c r="D49" s="60" t="s">
        <v>207</v>
      </c>
      <c r="E49" s="60" t="s">
        <v>256</v>
      </c>
      <c r="F49" s="60"/>
      <c r="G49" s="60">
        <f>21/20*11</f>
        <v>11.55</v>
      </c>
      <c r="H49" s="60"/>
      <c r="I49" s="48">
        <f>+F49+G49+H49</f>
        <v>11.55</v>
      </c>
    </row>
    <row r="50" spans="1:9" ht="15.75">
      <c r="A50" s="43">
        <v>47</v>
      </c>
      <c r="B50" s="44" t="s">
        <v>65</v>
      </c>
      <c r="C50" s="44" t="s">
        <v>275</v>
      </c>
      <c r="D50" s="49" t="s">
        <v>153</v>
      </c>
      <c r="E50" s="50" t="s">
        <v>256</v>
      </c>
      <c r="F50" s="43">
        <f>21/20*11</f>
        <v>11.55</v>
      </c>
      <c r="G50" s="47"/>
      <c r="H50" s="47"/>
      <c r="I50" s="48">
        <f>+F50+G50+H50</f>
        <v>11.55</v>
      </c>
    </row>
    <row r="51" spans="1:9" ht="15.75">
      <c r="A51" s="43">
        <v>49</v>
      </c>
      <c r="B51" s="49" t="s">
        <v>30</v>
      </c>
      <c r="C51" s="49" t="s">
        <v>276</v>
      </c>
      <c r="D51" s="49" t="s">
        <v>277</v>
      </c>
      <c r="E51" s="50" t="s">
        <v>246</v>
      </c>
      <c r="F51" s="43">
        <f>12/20*19</f>
        <v>11.4</v>
      </c>
      <c r="G51" s="61"/>
      <c r="H51" s="47"/>
      <c r="I51" s="48">
        <f>+F51+G51+H51</f>
        <v>11.4</v>
      </c>
    </row>
    <row r="52" spans="1:9" ht="15.75">
      <c r="A52" s="43">
        <v>50</v>
      </c>
      <c r="B52" s="44" t="s">
        <v>51</v>
      </c>
      <c r="C52" s="44" t="s">
        <v>278</v>
      </c>
      <c r="D52" s="46" t="s">
        <v>279</v>
      </c>
      <c r="E52" s="51" t="s">
        <v>242</v>
      </c>
      <c r="F52" s="43">
        <v>11</v>
      </c>
      <c r="G52" s="47"/>
      <c r="H52" s="47"/>
      <c r="I52" s="48">
        <f>+F52+G52+H52</f>
        <v>11</v>
      </c>
    </row>
    <row r="53" spans="1:9" ht="15">
      <c r="A53" s="43">
        <v>50</v>
      </c>
      <c r="B53" s="55" t="s">
        <v>22</v>
      </c>
      <c r="C53" s="55" t="s">
        <v>332</v>
      </c>
      <c r="D53" s="55" t="s">
        <v>280</v>
      </c>
      <c r="E53" s="45" t="s">
        <v>244</v>
      </c>
      <c r="F53" s="60">
        <v>11</v>
      </c>
      <c r="G53" s="69"/>
      <c r="H53" s="69"/>
      <c r="I53" s="48">
        <f>+F53+G53+H53</f>
        <v>11</v>
      </c>
    </row>
    <row r="54" spans="1:9" ht="15">
      <c r="A54" s="43">
        <v>50</v>
      </c>
      <c r="B54" s="60" t="s">
        <v>62</v>
      </c>
      <c r="C54" s="60" t="s">
        <v>130</v>
      </c>
      <c r="D54" s="60" t="s">
        <v>85</v>
      </c>
      <c r="E54" s="45" t="s">
        <v>244</v>
      </c>
      <c r="F54" s="60"/>
      <c r="G54" s="60">
        <v>11</v>
      </c>
      <c r="H54" s="60"/>
      <c r="I54" s="48">
        <f>+F54+G54+H54</f>
        <v>11</v>
      </c>
    </row>
    <row r="55" spans="1:9" ht="15">
      <c r="A55" s="43">
        <v>53</v>
      </c>
      <c r="B55" s="55" t="s">
        <v>22</v>
      </c>
      <c r="C55" s="55" t="s">
        <v>188</v>
      </c>
      <c r="D55" s="55" t="s">
        <v>187</v>
      </c>
      <c r="E55" s="55" t="s">
        <v>242</v>
      </c>
      <c r="F55" s="55"/>
      <c r="G55" s="55">
        <f>18/20*12</f>
        <v>10.8</v>
      </c>
      <c r="H55" s="55"/>
      <c r="I55" s="63">
        <f>+F55+G55+H55</f>
        <v>10.8</v>
      </c>
    </row>
    <row r="56" spans="1:9" ht="15">
      <c r="A56" s="43">
        <v>54</v>
      </c>
      <c r="B56" s="60" t="s">
        <v>62</v>
      </c>
      <c r="C56" s="60" t="s">
        <v>180</v>
      </c>
      <c r="D56" s="60"/>
      <c r="E56" s="56" t="s">
        <v>246</v>
      </c>
      <c r="F56" s="60"/>
      <c r="G56" s="53">
        <f>14/20*15</f>
        <v>10.5</v>
      </c>
      <c r="H56" s="60"/>
      <c r="I56" s="48">
        <f>+F56+G56+H56</f>
        <v>10.5</v>
      </c>
    </row>
    <row r="57" spans="1:9" ht="15">
      <c r="A57" s="43">
        <v>55</v>
      </c>
      <c r="B57" s="55" t="s">
        <v>71</v>
      </c>
      <c r="C57" s="55" t="s">
        <v>106</v>
      </c>
      <c r="D57" s="55" t="s">
        <v>283</v>
      </c>
      <c r="E57" s="45" t="s">
        <v>244</v>
      </c>
      <c r="F57" s="60">
        <v>10</v>
      </c>
      <c r="G57" s="69"/>
      <c r="H57" s="69"/>
      <c r="I57" s="48">
        <f>+F57+G57+H57</f>
        <v>10</v>
      </c>
    </row>
    <row r="58" spans="1:9" ht="15.75">
      <c r="A58" s="43">
        <v>55</v>
      </c>
      <c r="B58" s="44" t="s">
        <v>178</v>
      </c>
      <c r="C58" s="44" t="s">
        <v>281</v>
      </c>
      <c r="D58" s="44" t="s">
        <v>282</v>
      </c>
      <c r="E58" s="51" t="s">
        <v>242</v>
      </c>
      <c r="F58" s="43">
        <v>10</v>
      </c>
      <c r="G58" s="47"/>
      <c r="H58" s="47"/>
      <c r="I58" s="48">
        <f>+F58+G58+H58</f>
        <v>10</v>
      </c>
    </row>
    <row r="59" spans="1:9" ht="15">
      <c r="A59" s="43">
        <v>57</v>
      </c>
      <c r="B59" s="53" t="s">
        <v>311</v>
      </c>
      <c r="C59" s="53" t="s">
        <v>78</v>
      </c>
      <c r="D59" s="53" t="s">
        <v>312</v>
      </c>
      <c r="E59" s="56" t="s">
        <v>246</v>
      </c>
      <c r="F59" s="57">
        <f>4/20*19</f>
        <v>3.8000000000000003</v>
      </c>
      <c r="G59" s="53">
        <f>8/20*15</f>
        <v>6</v>
      </c>
      <c r="H59" s="57"/>
      <c r="I59" s="48">
        <f>+F59+G59+H59</f>
        <v>9.8</v>
      </c>
    </row>
    <row r="60" spans="1:9" ht="15">
      <c r="A60" s="43">
        <v>58</v>
      </c>
      <c r="B60" s="60" t="s">
        <v>71</v>
      </c>
      <c r="C60" s="60" t="s">
        <v>183</v>
      </c>
      <c r="D60" s="60"/>
      <c r="E60" s="56" t="s">
        <v>246</v>
      </c>
      <c r="F60" s="60"/>
      <c r="G60" s="53">
        <f>13/20*15</f>
        <v>9.75</v>
      </c>
      <c r="H60" s="60"/>
      <c r="I60" s="48">
        <f>+F60+G60+H60</f>
        <v>9.75</v>
      </c>
    </row>
    <row r="61" spans="1:9" ht="15">
      <c r="A61" s="43">
        <v>59</v>
      </c>
      <c r="B61" s="55" t="s">
        <v>59</v>
      </c>
      <c r="C61" s="55" t="s">
        <v>123</v>
      </c>
      <c r="D61" s="55" t="s">
        <v>124</v>
      </c>
      <c r="E61" s="55" t="s">
        <v>242</v>
      </c>
      <c r="F61" s="55"/>
      <c r="G61" s="55">
        <f>16/20*12</f>
        <v>9.600000000000001</v>
      </c>
      <c r="H61" s="55"/>
      <c r="I61" s="63">
        <f>+F61+G61+H61</f>
        <v>9.600000000000001</v>
      </c>
    </row>
    <row r="62" spans="1:9" ht="15.75">
      <c r="A62" s="43">
        <v>60</v>
      </c>
      <c r="B62" s="44" t="s">
        <v>65</v>
      </c>
      <c r="C62" s="44" t="s">
        <v>286</v>
      </c>
      <c r="D62" s="44" t="s">
        <v>122</v>
      </c>
      <c r="E62" s="51" t="s">
        <v>242</v>
      </c>
      <c r="F62" s="43">
        <v>9</v>
      </c>
      <c r="G62" s="47"/>
      <c r="H62" s="47"/>
      <c r="I62" s="48">
        <f>+F62+G62+H62</f>
        <v>9</v>
      </c>
    </row>
    <row r="63" spans="1:9" ht="15">
      <c r="A63" s="43">
        <v>60</v>
      </c>
      <c r="B63" s="55" t="s">
        <v>62</v>
      </c>
      <c r="C63" s="55" t="s">
        <v>287</v>
      </c>
      <c r="D63" s="55" t="s">
        <v>288</v>
      </c>
      <c r="E63" s="45" t="s">
        <v>244</v>
      </c>
      <c r="F63" s="60">
        <v>9</v>
      </c>
      <c r="G63" s="69"/>
      <c r="H63" s="69"/>
      <c r="I63" s="48">
        <f>+F63+G63+H63</f>
        <v>9</v>
      </c>
    </row>
    <row r="64" spans="1:9" ht="15">
      <c r="A64" s="43">
        <v>60</v>
      </c>
      <c r="B64" s="60" t="s">
        <v>118</v>
      </c>
      <c r="C64" s="60" t="s">
        <v>117</v>
      </c>
      <c r="D64" s="60" t="s">
        <v>119</v>
      </c>
      <c r="E64" s="56" t="s">
        <v>246</v>
      </c>
      <c r="F64" s="60"/>
      <c r="G64" s="53">
        <f>12/20*15</f>
        <v>9</v>
      </c>
      <c r="H64" s="60"/>
      <c r="I64" s="48">
        <f>+F64+G64+H64</f>
        <v>9</v>
      </c>
    </row>
    <row r="65" spans="1:9" ht="15">
      <c r="A65" s="43">
        <v>60</v>
      </c>
      <c r="B65" s="55" t="s">
        <v>65</v>
      </c>
      <c r="C65" s="55" t="s">
        <v>64</v>
      </c>
      <c r="D65" s="55" t="s">
        <v>66</v>
      </c>
      <c r="E65" s="55" t="s">
        <v>242</v>
      </c>
      <c r="F65" s="55"/>
      <c r="G65" s="55">
        <f>15/20*12</f>
        <v>9</v>
      </c>
      <c r="H65" s="55"/>
      <c r="I65" s="63">
        <f>+F65+G65+H65</f>
        <v>9</v>
      </c>
    </row>
    <row r="66" spans="1:9" ht="15">
      <c r="A66" s="43">
        <v>60</v>
      </c>
      <c r="B66" s="60" t="s">
        <v>19</v>
      </c>
      <c r="C66" s="60" t="s">
        <v>169</v>
      </c>
      <c r="D66" s="60" t="s">
        <v>170</v>
      </c>
      <c r="E66" s="45" t="s">
        <v>244</v>
      </c>
      <c r="F66" s="60"/>
      <c r="G66" s="60">
        <v>9</v>
      </c>
      <c r="H66" s="60"/>
      <c r="I66" s="48">
        <f>+F66+G66+H66</f>
        <v>9</v>
      </c>
    </row>
    <row r="67" spans="1:9" ht="15.75">
      <c r="A67" s="43">
        <v>65</v>
      </c>
      <c r="B67" s="44" t="s">
        <v>71</v>
      </c>
      <c r="C67" s="44" t="s">
        <v>158</v>
      </c>
      <c r="D67" s="49" t="s">
        <v>127</v>
      </c>
      <c r="E67" s="50" t="s">
        <v>256</v>
      </c>
      <c r="F67" s="43">
        <f>16/20*11</f>
        <v>8.8</v>
      </c>
      <c r="G67" s="47"/>
      <c r="H67" s="47"/>
      <c r="I67" s="48">
        <f>+F67+G67+H67</f>
        <v>8.8</v>
      </c>
    </row>
    <row r="68" spans="1:9" ht="15">
      <c r="A68" s="43">
        <v>66</v>
      </c>
      <c r="B68" s="55" t="s">
        <v>103</v>
      </c>
      <c r="C68" s="55" t="s">
        <v>173</v>
      </c>
      <c r="D68" s="55" t="s">
        <v>174</v>
      </c>
      <c r="E68" s="55" t="s">
        <v>242</v>
      </c>
      <c r="F68" s="55"/>
      <c r="G68" s="55">
        <f>14/20*12</f>
        <v>8.399999999999999</v>
      </c>
      <c r="H68" s="55"/>
      <c r="I68" s="63">
        <f>+F68+G68+H68</f>
        <v>8.399999999999999</v>
      </c>
    </row>
    <row r="69" spans="1:9" ht="15">
      <c r="A69" s="43">
        <v>67</v>
      </c>
      <c r="B69" s="60" t="s">
        <v>190</v>
      </c>
      <c r="C69" s="60" t="s">
        <v>189</v>
      </c>
      <c r="D69" s="60"/>
      <c r="E69" s="56" t="s">
        <v>246</v>
      </c>
      <c r="F69" s="60"/>
      <c r="G69" s="53">
        <f>11/20*15</f>
        <v>8.25</v>
      </c>
      <c r="H69" s="60"/>
      <c r="I69" s="48">
        <f>+F69+G69+H69</f>
        <v>8.25</v>
      </c>
    </row>
    <row r="70" spans="1:9" ht="15.75">
      <c r="A70" s="43">
        <v>67</v>
      </c>
      <c r="B70" s="78" t="s">
        <v>178</v>
      </c>
      <c r="C70" s="78" t="s">
        <v>169</v>
      </c>
      <c r="D70" s="49" t="s">
        <v>290</v>
      </c>
      <c r="E70" s="50" t="s">
        <v>256</v>
      </c>
      <c r="F70" s="43">
        <f>15/20*11</f>
        <v>8.25</v>
      </c>
      <c r="G70" s="47"/>
      <c r="H70" s="47"/>
      <c r="I70" s="48">
        <f>+F70+G70+H70</f>
        <v>8.25</v>
      </c>
    </row>
    <row r="71" spans="1:9" ht="15">
      <c r="A71" s="43">
        <v>69</v>
      </c>
      <c r="B71" s="55" t="s">
        <v>178</v>
      </c>
      <c r="C71" s="55" t="s">
        <v>294</v>
      </c>
      <c r="D71" s="55" t="s">
        <v>295</v>
      </c>
      <c r="E71" s="45" t="s">
        <v>244</v>
      </c>
      <c r="F71" s="60">
        <v>8</v>
      </c>
      <c r="G71" s="69"/>
      <c r="H71" s="69"/>
      <c r="I71" s="48">
        <f>+F71+G71+H71</f>
        <v>8</v>
      </c>
    </row>
    <row r="72" spans="1:9" ht="15">
      <c r="A72" s="43">
        <v>69</v>
      </c>
      <c r="B72" s="60" t="s">
        <v>62</v>
      </c>
      <c r="C72" s="60" t="s">
        <v>165</v>
      </c>
      <c r="D72" s="60" t="s">
        <v>49</v>
      </c>
      <c r="E72" s="45" t="s">
        <v>244</v>
      </c>
      <c r="F72" s="60"/>
      <c r="G72" s="60">
        <v>8</v>
      </c>
      <c r="H72" s="60"/>
      <c r="I72" s="48">
        <f>+F72+G72+H72</f>
        <v>8</v>
      </c>
    </row>
    <row r="73" spans="1:9" ht="15.75">
      <c r="A73" s="43">
        <v>69</v>
      </c>
      <c r="B73" s="44" t="s">
        <v>291</v>
      </c>
      <c r="C73" s="44" t="s">
        <v>292</v>
      </c>
      <c r="D73" s="44" t="s">
        <v>293</v>
      </c>
      <c r="E73" s="51" t="s">
        <v>242</v>
      </c>
      <c r="F73" s="43">
        <v>8</v>
      </c>
      <c r="G73" s="47"/>
      <c r="H73" s="47"/>
      <c r="I73" s="48">
        <f>+F73+G73+H73</f>
        <v>8</v>
      </c>
    </row>
    <row r="74" spans="1:9" ht="15.75">
      <c r="A74" s="43">
        <v>72</v>
      </c>
      <c r="B74" s="78" t="s">
        <v>320</v>
      </c>
      <c r="C74" s="78" t="s">
        <v>75</v>
      </c>
      <c r="D74" s="49" t="s">
        <v>296</v>
      </c>
      <c r="E74" s="50" t="s">
        <v>256</v>
      </c>
      <c r="F74" s="43">
        <f>14/20*11</f>
        <v>7.699999999999999</v>
      </c>
      <c r="G74" s="54"/>
      <c r="H74" s="54"/>
      <c r="I74" s="48">
        <f>+F74+G74+H74</f>
        <v>7.699999999999999</v>
      </c>
    </row>
    <row r="75" spans="1:9" ht="15">
      <c r="A75" s="43">
        <v>73</v>
      </c>
      <c r="B75" s="55" t="s">
        <v>291</v>
      </c>
      <c r="C75" s="55" t="s">
        <v>226</v>
      </c>
      <c r="D75" s="55" t="s">
        <v>91</v>
      </c>
      <c r="E75" s="55" t="s">
        <v>242</v>
      </c>
      <c r="F75" s="55">
        <v>2</v>
      </c>
      <c r="G75" s="55">
        <f>9/20*12</f>
        <v>5.4</v>
      </c>
      <c r="H75" s="55"/>
      <c r="I75" s="63">
        <f>+F75+G75+H75</f>
        <v>7.4</v>
      </c>
    </row>
    <row r="76" spans="1:9" ht="15">
      <c r="A76" s="43">
        <v>74</v>
      </c>
      <c r="B76" s="55" t="s">
        <v>144</v>
      </c>
      <c r="C76" s="55" t="s">
        <v>143</v>
      </c>
      <c r="D76" s="55" t="s">
        <v>145</v>
      </c>
      <c r="E76" s="55" t="s">
        <v>242</v>
      </c>
      <c r="F76" s="55"/>
      <c r="G76" s="55">
        <f>12/20*12</f>
        <v>7.199999999999999</v>
      </c>
      <c r="H76" s="55"/>
      <c r="I76" s="63">
        <f>+F76+G76+H76</f>
        <v>7.199999999999999</v>
      </c>
    </row>
    <row r="77" spans="1:9" ht="15.75">
      <c r="A77" s="43">
        <v>75</v>
      </c>
      <c r="B77" s="44" t="s">
        <v>71</v>
      </c>
      <c r="C77" s="44" t="s">
        <v>58</v>
      </c>
      <c r="D77" s="49" t="s">
        <v>60</v>
      </c>
      <c r="E77" s="50" t="s">
        <v>256</v>
      </c>
      <c r="F77" s="43">
        <f>13/20*11</f>
        <v>7.15</v>
      </c>
      <c r="G77" s="47"/>
      <c r="H77" s="47"/>
      <c r="I77" s="48">
        <f>+F77+G77+H77</f>
        <v>7.15</v>
      </c>
    </row>
    <row r="78" spans="1:9" ht="15">
      <c r="A78" s="43">
        <v>76</v>
      </c>
      <c r="B78" s="60" t="s">
        <v>59</v>
      </c>
      <c r="C78" s="60" t="s">
        <v>112</v>
      </c>
      <c r="D78" s="60" t="s">
        <v>85</v>
      </c>
      <c r="E78" s="45" t="s">
        <v>244</v>
      </c>
      <c r="F78" s="60"/>
      <c r="G78" s="60">
        <v>7</v>
      </c>
      <c r="H78" s="60"/>
      <c r="I78" s="85">
        <f>+F78+G78+H78</f>
        <v>7</v>
      </c>
    </row>
    <row r="79" spans="1:9" ht="15">
      <c r="A79" s="43">
        <v>76</v>
      </c>
      <c r="B79" s="55" t="s">
        <v>103</v>
      </c>
      <c r="C79" s="55" t="s">
        <v>151</v>
      </c>
      <c r="D79" s="55" t="s">
        <v>152</v>
      </c>
      <c r="E79" s="45" t="s">
        <v>244</v>
      </c>
      <c r="F79" s="60">
        <v>6</v>
      </c>
      <c r="G79" s="69">
        <v>1</v>
      </c>
      <c r="H79" s="69"/>
      <c r="I79" s="48">
        <f>+F79+G79+H79</f>
        <v>7</v>
      </c>
    </row>
    <row r="80" spans="1:9" ht="15">
      <c r="A80" s="43">
        <v>76</v>
      </c>
      <c r="B80" s="55" t="s">
        <v>309</v>
      </c>
      <c r="C80" s="55" t="s">
        <v>140</v>
      </c>
      <c r="D80" s="55" t="s">
        <v>297</v>
      </c>
      <c r="E80" s="45" t="s">
        <v>244</v>
      </c>
      <c r="F80" s="60">
        <v>7</v>
      </c>
      <c r="G80" s="69"/>
      <c r="H80" s="69"/>
      <c r="I80" s="48">
        <f>+F80+G80+H80</f>
        <v>7</v>
      </c>
    </row>
    <row r="81" spans="1:9" ht="15.75">
      <c r="A81" s="43">
        <v>79</v>
      </c>
      <c r="B81" s="49" t="s">
        <v>298</v>
      </c>
      <c r="C81" s="49" t="s">
        <v>299</v>
      </c>
      <c r="D81" s="43" t="s">
        <v>91</v>
      </c>
      <c r="E81" s="50" t="s">
        <v>246</v>
      </c>
      <c r="F81" s="43">
        <f>7/20*19</f>
        <v>6.6499999999999995</v>
      </c>
      <c r="G81" s="64"/>
      <c r="H81" s="43"/>
      <c r="I81" s="48">
        <f>+F81+G81+H81</f>
        <v>6.6499999999999995</v>
      </c>
    </row>
    <row r="82" spans="1:9" ht="15">
      <c r="A82" s="43">
        <v>80</v>
      </c>
      <c r="B82" s="55" t="s">
        <v>65</v>
      </c>
      <c r="C82" s="55" t="s">
        <v>205</v>
      </c>
      <c r="D82" s="55" t="s">
        <v>206</v>
      </c>
      <c r="E82" s="55" t="s">
        <v>242</v>
      </c>
      <c r="F82" s="55"/>
      <c r="G82" s="55">
        <f>11/20*12</f>
        <v>6.6000000000000005</v>
      </c>
      <c r="H82" s="55"/>
      <c r="I82" s="63">
        <f>+F82+G82+H82</f>
        <v>6.6000000000000005</v>
      </c>
    </row>
    <row r="83" spans="1:9" ht="15">
      <c r="A83" s="43">
        <v>80</v>
      </c>
      <c r="B83" s="55" t="s">
        <v>333</v>
      </c>
      <c r="C83" s="55" t="s">
        <v>169</v>
      </c>
      <c r="D83" s="53" t="s">
        <v>290</v>
      </c>
      <c r="E83" s="56" t="s">
        <v>256</v>
      </c>
      <c r="F83" s="57">
        <f>12/20*11</f>
        <v>6.6</v>
      </c>
      <c r="G83" s="58"/>
      <c r="H83" s="58"/>
      <c r="I83" s="48">
        <f>+F83+G83+H83</f>
        <v>6.6</v>
      </c>
    </row>
    <row r="84" spans="1:9" ht="15">
      <c r="A84" s="43">
        <v>82</v>
      </c>
      <c r="B84" s="60" t="s">
        <v>62</v>
      </c>
      <c r="C84" s="60" t="s">
        <v>162</v>
      </c>
      <c r="D84" s="60" t="s">
        <v>138</v>
      </c>
      <c r="E84" s="45" t="s">
        <v>244</v>
      </c>
      <c r="F84" s="60"/>
      <c r="G84" s="60">
        <v>6</v>
      </c>
      <c r="H84" s="60"/>
      <c r="I84" s="85">
        <f>+F84+G84+H84</f>
        <v>6</v>
      </c>
    </row>
    <row r="85" spans="1:9" ht="15">
      <c r="A85" s="43">
        <v>82</v>
      </c>
      <c r="B85" s="55" t="s">
        <v>65</v>
      </c>
      <c r="C85" s="55" t="s">
        <v>334</v>
      </c>
      <c r="D85" s="59" t="s">
        <v>300</v>
      </c>
      <c r="E85" s="45" t="s">
        <v>242</v>
      </c>
      <c r="F85" s="57">
        <v>6</v>
      </c>
      <c r="G85" s="58"/>
      <c r="H85" s="58"/>
      <c r="I85" s="48">
        <f>+F85+G85+H85</f>
        <v>6</v>
      </c>
    </row>
    <row r="86" spans="1:9" ht="15">
      <c r="A86" s="43">
        <v>82</v>
      </c>
      <c r="B86" s="55" t="s">
        <v>62</v>
      </c>
      <c r="C86" s="55" t="s">
        <v>90</v>
      </c>
      <c r="D86" s="55" t="s">
        <v>91</v>
      </c>
      <c r="E86" s="55" t="s">
        <v>242</v>
      </c>
      <c r="F86" s="55"/>
      <c r="G86" s="55">
        <f>10/20*12</f>
        <v>6</v>
      </c>
      <c r="H86" s="55"/>
      <c r="I86" s="63">
        <f>+F86+G86+H86</f>
        <v>6</v>
      </c>
    </row>
    <row r="87" spans="1:9" ht="15">
      <c r="A87" s="43">
        <v>85</v>
      </c>
      <c r="B87" s="60" t="s">
        <v>137</v>
      </c>
      <c r="C87" s="60" t="s">
        <v>136</v>
      </c>
      <c r="D87" s="60" t="s">
        <v>138</v>
      </c>
      <c r="E87" s="45" t="s">
        <v>244</v>
      </c>
      <c r="F87" s="60"/>
      <c r="G87" s="60">
        <v>5</v>
      </c>
      <c r="H87" s="60"/>
      <c r="I87" s="85">
        <f>+F87+G87+H87</f>
        <v>5</v>
      </c>
    </row>
    <row r="88" spans="1:9" ht="15">
      <c r="A88" s="43">
        <v>85</v>
      </c>
      <c r="B88" s="55" t="s">
        <v>62</v>
      </c>
      <c r="C88" s="55" t="s">
        <v>305</v>
      </c>
      <c r="D88" s="55" t="s">
        <v>306</v>
      </c>
      <c r="E88" s="45" t="s">
        <v>244</v>
      </c>
      <c r="F88" s="60">
        <v>5</v>
      </c>
      <c r="G88" s="69"/>
      <c r="H88" s="69"/>
      <c r="I88" s="48">
        <f>+F88+G88+H88</f>
        <v>5</v>
      </c>
    </row>
    <row r="89" spans="1:9" ht="15">
      <c r="A89" s="43">
        <v>85</v>
      </c>
      <c r="B89" s="55" t="s">
        <v>30</v>
      </c>
      <c r="C89" s="55" t="s">
        <v>303</v>
      </c>
      <c r="D89" s="55" t="s">
        <v>304</v>
      </c>
      <c r="E89" s="45" t="s">
        <v>242</v>
      </c>
      <c r="F89" s="57">
        <v>5</v>
      </c>
      <c r="G89" s="58"/>
      <c r="H89" s="58"/>
      <c r="I89" s="48">
        <f>+F89+G89+H89</f>
        <v>5</v>
      </c>
    </row>
    <row r="90" spans="1:9" ht="15">
      <c r="A90" s="43">
        <v>88</v>
      </c>
      <c r="B90" s="53" t="s">
        <v>137</v>
      </c>
      <c r="C90" s="53" t="s">
        <v>335</v>
      </c>
      <c r="D90" s="53" t="s">
        <v>307</v>
      </c>
      <c r="E90" s="56" t="s">
        <v>246</v>
      </c>
      <c r="F90" s="57">
        <f>5/20*19</f>
        <v>4.75</v>
      </c>
      <c r="G90" s="66"/>
      <c r="H90" s="57"/>
      <c r="I90" s="48">
        <f>+F90+G90+H90</f>
        <v>4.75</v>
      </c>
    </row>
    <row r="91" spans="1:9" ht="15">
      <c r="A91" s="43">
        <v>89</v>
      </c>
      <c r="B91" s="60" t="s">
        <v>65</v>
      </c>
      <c r="C91" s="60" t="s">
        <v>168</v>
      </c>
      <c r="D91" s="60" t="s">
        <v>164</v>
      </c>
      <c r="E91" s="56" t="s">
        <v>246</v>
      </c>
      <c r="F91" s="60"/>
      <c r="G91" s="53">
        <f>6/20*15</f>
        <v>4.5</v>
      </c>
      <c r="H91" s="60"/>
      <c r="I91" s="48">
        <f>+F91+G91+H91</f>
        <v>4.5</v>
      </c>
    </row>
    <row r="92" spans="1:9" ht="15">
      <c r="A92" s="43">
        <v>90</v>
      </c>
      <c r="B92" s="60" t="s">
        <v>19</v>
      </c>
      <c r="C92" s="60" t="s">
        <v>125</v>
      </c>
      <c r="D92" s="60"/>
      <c r="E92" s="45" t="s">
        <v>244</v>
      </c>
      <c r="F92" s="60"/>
      <c r="G92" s="60">
        <v>4</v>
      </c>
      <c r="H92" s="60"/>
      <c r="I92" s="85">
        <f>+F92+G92+H92</f>
        <v>4</v>
      </c>
    </row>
    <row r="93" spans="1:9" ht="15">
      <c r="A93" s="43">
        <v>90</v>
      </c>
      <c r="B93" s="55" t="s">
        <v>106</v>
      </c>
      <c r="C93" s="55" t="s">
        <v>336</v>
      </c>
      <c r="D93" s="55" t="s">
        <v>308</v>
      </c>
      <c r="E93" s="45" t="s">
        <v>242</v>
      </c>
      <c r="F93" s="57">
        <v>4</v>
      </c>
      <c r="G93" s="58"/>
      <c r="H93" s="58"/>
      <c r="I93" s="48">
        <f>+F93+G93+H93</f>
        <v>4</v>
      </c>
    </row>
    <row r="94" spans="1:9" ht="15">
      <c r="A94" s="43">
        <v>90</v>
      </c>
      <c r="B94" s="55" t="s">
        <v>309</v>
      </c>
      <c r="C94" s="55" t="s">
        <v>169</v>
      </c>
      <c r="D94" s="55" t="s">
        <v>310</v>
      </c>
      <c r="E94" s="45" t="s">
        <v>244</v>
      </c>
      <c r="F94" s="60">
        <v>4</v>
      </c>
      <c r="G94" s="69"/>
      <c r="H94" s="69"/>
      <c r="I94" s="48">
        <f>+F94+G94+H94</f>
        <v>4</v>
      </c>
    </row>
    <row r="95" spans="1:9" ht="15">
      <c r="A95" s="43">
        <v>93</v>
      </c>
      <c r="B95" s="60" t="s">
        <v>19</v>
      </c>
      <c r="C95" s="60" t="s">
        <v>18</v>
      </c>
      <c r="D95" s="60" t="s">
        <v>20</v>
      </c>
      <c r="E95" s="45" t="s">
        <v>244</v>
      </c>
      <c r="F95" s="60"/>
      <c r="G95" s="60">
        <v>3</v>
      </c>
      <c r="H95" s="60"/>
      <c r="I95" s="85">
        <f>+F95+G95+H95</f>
        <v>3</v>
      </c>
    </row>
    <row r="96" spans="1:9" ht="15">
      <c r="A96" s="43">
        <v>93</v>
      </c>
      <c r="B96" s="55" t="s">
        <v>30</v>
      </c>
      <c r="C96" s="55" t="s">
        <v>313</v>
      </c>
      <c r="D96" s="55" t="s">
        <v>314</v>
      </c>
      <c r="E96" s="45" t="s">
        <v>244</v>
      </c>
      <c r="F96" s="60">
        <v>3</v>
      </c>
      <c r="G96" s="69"/>
      <c r="H96" s="69"/>
      <c r="I96" s="48">
        <f>+F96+G96+H96</f>
        <v>3</v>
      </c>
    </row>
    <row r="97" spans="1:9" ht="15">
      <c r="A97" s="43">
        <v>93</v>
      </c>
      <c r="B97" s="55" t="s">
        <v>22</v>
      </c>
      <c r="C97" s="55" t="s">
        <v>337</v>
      </c>
      <c r="D97" s="55" t="s">
        <v>43</v>
      </c>
      <c r="E97" s="45" t="s">
        <v>242</v>
      </c>
      <c r="F97" s="57">
        <v>3</v>
      </c>
      <c r="G97" s="58"/>
      <c r="H97" s="58"/>
      <c r="I97" s="48">
        <f>+F97+G97+H97</f>
        <v>3</v>
      </c>
    </row>
    <row r="98" spans="1:9" ht="15">
      <c r="A98" s="43">
        <v>96</v>
      </c>
      <c r="B98" s="53" t="s">
        <v>30</v>
      </c>
      <c r="C98" s="53" t="s">
        <v>315</v>
      </c>
      <c r="D98" s="53" t="s">
        <v>271</v>
      </c>
      <c r="E98" s="56" t="s">
        <v>246</v>
      </c>
      <c r="F98" s="57">
        <f>3/20*19</f>
        <v>2.85</v>
      </c>
      <c r="G98" s="66"/>
      <c r="H98" s="57"/>
      <c r="I98" s="48">
        <f>+F98+G98+H98</f>
        <v>2.85</v>
      </c>
    </row>
    <row r="99" spans="1:9" ht="15">
      <c r="A99" s="43">
        <v>97</v>
      </c>
      <c r="B99" s="68" t="s">
        <v>62</v>
      </c>
      <c r="C99" s="68" t="s">
        <v>379</v>
      </c>
      <c r="D99" s="68" t="s">
        <v>316</v>
      </c>
      <c r="E99" s="45" t="s">
        <v>244</v>
      </c>
      <c r="F99" s="60">
        <v>2</v>
      </c>
      <c r="G99" s="69"/>
      <c r="H99" s="69"/>
      <c r="I99" s="48">
        <f>+F99+G99+H99</f>
        <v>2</v>
      </c>
    </row>
    <row r="100" spans="1:9" ht="15">
      <c r="A100" s="43">
        <v>97</v>
      </c>
      <c r="B100" s="60" t="s">
        <v>161</v>
      </c>
      <c r="C100" s="60" t="s">
        <v>160</v>
      </c>
      <c r="D100" s="60" t="s">
        <v>138</v>
      </c>
      <c r="E100" s="45" t="s">
        <v>244</v>
      </c>
      <c r="F100" s="60"/>
      <c r="G100" s="60">
        <v>2</v>
      </c>
      <c r="H100" s="60"/>
      <c r="I100" s="85">
        <f>+F100+G100+H100</f>
        <v>2</v>
      </c>
    </row>
    <row r="101" spans="1:9" ht="15">
      <c r="A101" s="43">
        <v>99</v>
      </c>
      <c r="B101" s="53" t="s">
        <v>134</v>
      </c>
      <c r="C101" s="53" t="s">
        <v>169</v>
      </c>
      <c r="D101" s="53" t="s">
        <v>290</v>
      </c>
      <c r="E101" s="56" t="s">
        <v>246</v>
      </c>
      <c r="F101" s="57">
        <f>2/20*19</f>
        <v>1.9000000000000001</v>
      </c>
      <c r="G101" s="66"/>
      <c r="H101" s="57"/>
      <c r="I101" s="48">
        <f>+F101+G101+H101</f>
        <v>1.9000000000000001</v>
      </c>
    </row>
    <row r="102" spans="1:9" ht="15">
      <c r="A102" s="43">
        <v>100</v>
      </c>
      <c r="B102" s="55" t="s">
        <v>320</v>
      </c>
      <c r="C102" s="55" t="s">
        <v>321</v>
      </c>
      <c r="D102" s="68"/>
      <c r="E102" s="45" t="s">
        <v>244</v>
      </c>
      <c r="F102" s="60">
        <v>1</v>
      </c>
      <c r="G102" s="69"/>
      <c r="H102" s="69"/>
      <c r="I102" s="48">
        <f>+F102+G102+H102</f>
        <v>1</v>
      </c>
    </row>
    <row r="103" spans="1:9" ht="15">
      <c r="A103" s="43">
        <v>100</v>
      </c>
      <c r="B103" s="55" t="s">
        <v>317</v>
      </c>
      <c r="C103" s="55" t="s">
        <v>318</v>
      </c>
      <c r="D103" s="55" t="s">
        <v>319</v>
      </c>
      <c r="E103" s="45" t="s">
        <v>242</v>
      </c>
      <c r="F103" s="57">
        <v>1</v>
      </c>
      <c r="G103" s="62"/>
      <c r="H103" s="58"/>
      <c r="I103" s="48">
        <f>+F103+G103+H103</f>
        <v>1</v>
      </c>
    </row>
    <row r="104" spans="1:9" ht="15">
      <c r="A104" s="43">
        <v>102</v>
      </c>
      <c r="B104" s="53" t="s">
        <v>71</v>
      </c>
      <c r="C104" s="53" t="s">
        <v>322</v>
      </c>
      <c r="D104" s="53" t="s">
        <v>323</v>
      </c>
      <c r="E104" s="56" t="s">
        <v>246</v>
      </c>
      <c r="F104" s="57">
        <f>1/20*19</f>
        <v>0.9500000000000001</v>
      </c>
      <c r="G104" s="66"/>
      <c r="H104" s="57"/>
      <c r="I104" s="48">
        <f>+F104+G104+H104</f>
        <v>0.9500000000000001</v>
      </c>
    </row>
    <row r="105" spans="1:9" ht="15">
      <c r="A105" s="43"/>
      <c r="B105" s="57"/>
      <c r="C105" s="57"/>
      <c r="D105" s="57"/>
      <c r="E105" s="57"/>
      <c r="F105" s="57"/>
      <c r="G105" s="57"/>
      <c r="H105" s="57"/>
      <c r="I105" s="48">
        <f>+F105+G105+H105</f>
        <v>0</v>
      </c>
    </row>
    <row r="106" spans="1:9" ht="15">
      <c r="A106" s="43"/>
      <c r="B106" s="57"/>
      <c r="C106" s="57"/>
      <c r="D106" s="57"/>
      <c r="E106" s="57"/>
      <c r="F106" s="57"/>
      <c r="G106" s="57"/>
      <c r="H106" s="57"/>
      <c r="I106" s="48">
        <f>+F106+G106+H106</f>
        <v>0</v>
      </c>
    </row>
    <row r="107" spans="1:9" ht="15">
      <c r="A107" s="43"/>
      <c r="B107" s="57"/>
      <c r="C107" s="57"/>
      <c r="D107" s="57"/>
      <c r="E107" s="57"/>
      <c r="F107" s="57"/>
      <c r="G107" s="57"/>
      <c r="H107" s="57"/>
      <c r="I107" s="48">
        <f>+F107+G107+H107</f>
        <v>0</v>
      </c>
    </row>
    <row r="108" spans="1:9" ht="15">
      <c r="A108" s="43"/>
      <c r="B108" s="57"/>
      <c r="C108" s="57"/>
      <c r="D108" s="57"/>
      <c r="E108" s="57"/>
      <c r="F108" s="57"/>
      <c r="G108" s="57"/>
      <c r="H108" s="57"/>
      <c r="I108" s="48">
        <f>+F108+G108+H108</f>
        <v>0</v>
      </c>
    </row>
    <row r="109" spans="1:9" ht="15">
      <c r="A109" s="43"/>
      <c r="B109" s="57"/>
      <c r="C109" s="57"/>
      <c r="D109" s="57"/>
      <c r="E109" s="57"/>
      <c r="F109" s="57"/>
      <c r="G109" s="57"/>
      <c r="H109" s="57"/>
      <c r="I109" s="48">
        <f>+F109+G109+H109</f>
        <v>0</v>
      </c>
    </row>
    <row r="110" spans="1:9" ht="15">
      <c r="A110" s="43"/>
      <c r="B110" s="57"/>
      <c r="C110" s="57"/>
      <c r="D110" s="57"/>
      <c r="E110" s="57"/>
      <c r="F110" s="57"/>
      <c r="G110" s="57"/>
      <c r="H110" s="57"/>
      <c r="I110" s="48">
        <f>+F110+G110+H110</f>
        <v>0</v>
      </c>
    </row>
    <row r="111" spans="1:9" ht="15">
      <c r="A111" s="43"/>
      <c r="B111" s="57"/>
      <c r="C111" s="57"/>
      <c r="D111" s="57"/>
      <c r="E111" s="57"/>
      <c r="F111" s="57"/>
      <c r="G111" s="57"/>
      <c r="H111" s="57"/>
      <c r="I111" s="48">
        <f>+F111+G111+H111</f>
        <v>0</v>
      </c>
    </row>
    <row r="112" spans="1:9" ht="15">
      <c r="A112" s="43"/>
      <c r="B112" s="57"/>
      <c r="C112" s="57"/>
      <c r="D112" s="57"/>
      <c r="E112" s="57"/>
      <c r="F112" s="57"/>
      <c r="G112" s="57"/>
      <c r="H112" s="57"/>
      <c r="I112" s="48">
        <f>+F112+G112+H112</f>
        <v>0</v>
      </c>
    </row>
    <row r="113" spans="1:9" ht="15">
      <c r="A113" s="43"/>
      <c r="B113" s="57"/>
      <c r="C113" s="57"/>
      <c r="D113" s="57"/>
      <c r="E113" s="57"/>
      <c r="F113" s="57"/>
      <c r="G113" s="57"/>
      <c r="H113" s="57"/>
      <c r="I113" s="48">
        <f>+F113+G113+H113</f>
        <v>0</v>
      </c>
    </row>
    <row r="114" spans="1:9" ht="15">
      <c r="A114" s="43"/>
      <c r="B114" s="57"/>
      <c r="C114" s="57"/>
      <c r="D114" s="57"/>
      <c r="E114" s="57"/>
      <c r="F114" s="57"/>
      <c r="G114" s="57"/>
      <c r="H114" s="57"/>
      <c r="I114" s="48">
        <f>+F114+G114+H114</f>
        <v>0</v>
      </c>
    </row>
    <row r="115" spans="1:9" ht="15">
      <c r="A115" s="43"/>
      <c r="B115" s="57"/>
      <c r="C115" s="57"/>
      <c r="D115" s="57"/>
      <c r="E115" s="57"/>
      <c r="F115" s="57"/>
      <c r="G115" s="57"/>
      <c r="H115" s="57"/>
      <c r="I115" s="48">
        <f>+F115+G115+H115</f>
        <v>0</v>
      </c>
    </row>
    <row r="116" spans="1:9" ht="15">
      <c r="A116" s="43"/>
      <c r="B116" s="57"/>
      <c r="C116" s="57"/>
      <c r="D116" s="57"/>
      <c r="E116" s="57"/>
      <c r="F116" s="57"/>
      <c r="G116" s="57"/>
      <c r="H116" s="57"/>
      <c r="I116" s="48">
        <f>+F116+G116+H116</f>
        <v>0</v>
      </c>
    </row>
    <row r="117" spans="1:9" ht="15">
      <c r="A117" s="43"/>
      <c r="B117" s="57"/>
      <c r="C117" s="57"/>
      <c r="D117" s="57"/>
      <c r="E117" s="57"/>
      <c r="F117" s="57"/>
      <c r="G117" s="57"/>
      <c r="H117" s="57"/>
      <c r="I117" s="48">
        <f>+F117+G117+H117</f>
        <v>0</v>
      </c>
    </row>
    <row r="118" spans="1:9" ht="15">
      <c r="A118" s="43"/>
      <c r="B118" s="57"/>
      <c r="C118" s="57"/>
      <c r="D118" s="57"/>
      <c r="E118" s="57"/>
      <c r="F118" s="57"/>
      <c r="G118" s="57"/>
      <c r="H118" s="57"/>
      <c r="I118" s="48">
        <f>+F118+G118+H118</f>
        <v>0</v>
      </c>
    </row>
    <row r="119" spans="1:9" ht="15">
      <c r="A119" s="43"/>
      <c r="B119" s="57"/>
      <c r="C119" s="57"/>
      <c r="D119" s="57"/>
      <c r="E119" s="57"/>
      <c r="F119" s="57"/>
      <c r="G119" s="57"/>
      <c r="H119" s="57"/>
      <c r="I119" s="48">
        <f>+F119+G119+H119</f>
        <v>0</v>
      </c>
    </row>
    <row r="120" spans="1:9" ht="15">
      <c r="A120" s="43"/>
      <c r="B120" s="57"/>
      <c r="C120" s="57"/>
      <c r="D120" s="57"/>
      <c r="E120" s="57"/>
      <c r="F120" s="57"/>
      <c r="G120" s="57"/>
      <c r="H120" s="57"/>
      <c r="I120" s="48">
        <f>+F120+G120+H120</f>
        <v>0</v>
      </c>
    </row>
    <row r="121" spans="1:9" ht="15">
      <c r="A121" s="43"/>
      <c r="B121" s="57"/>
      <c r="C121" s="57"/>
      <c r="D121" s="57"/>
      <c r="E121" s="57"/>
      <c r="F121" s="57"/>
      <c r="G121" s="57"/>
      <c r="H121" s="57"/>
      <c r="I121" s="48">
        <f>+F121+G121+H121</f>
        <v>0</v>
      </c>
    </row>
    <row r="122" spans="1:9" ht="15">
      <c r="A122" s="43"/>
      <c r="B122" s="57"/>
      <c r="C122" s="57"/>
      <c r="D122" s="57"/>
      <c r="E122" s="57"/>
      <c r="F122" s="57"/>
      <c r="G122" s="57"/>
      <c r="H122" s="57"/>
      <c r="I122" s="48">
        <f>+F122+G122+H122</f>
        <v>0</v>
      </c>
    </row>
    <row r="123" spans="1:9" ht="15">
      <c r="A123" s="43"/>
      <c r="B123" s="57"/>
      <c r="C123" s="57"/>
      <c r="D123" s="57"/>
      <c r="E123" s="57"/>
      <c r="F123" s="57"/>
      <c r="G123" s="57"/>
      <c r="H123" s="57"/>
      <c r="I123" s="48">
        <f>+F123+G123+H123</f>
        <v>0</v>
      </c>
    </row>
    <row r="124" spans="1:9" ht="15">
      <c r="A124" s="43"/>
      <c r="B124" s="57"/>
      <c r="C124" s="57"/>
      <c r="D124" s="57"/>
      <c r="E124" s="57"/>
      <c r="F124" s="57"/>
      <c r="G124" s="57"/>
      <c r="H124" s="57"/>
      <c r="I124" s="48">
        <f>+F124+G124+H124</f>
        <v>0</v>
      </c>
    </row>
    <row r="125" spans="1:9" ht="15">
      <c r="A125" s="43"/>
      <c r="B125" s="57"/>
      <c r="C125" s="57"/>
      <c r="D125" s="57"/>
      <c r="E125" s="57"/>
      <c r="F125" s="57"/>
      <c r="G125" s="57"/>
      <c r="H125" s="57"/>
      <c r="I125" s="48">
        <f>+F125+G125+H125</f>
        <v>0</v>
      </c>
    </row>
    <row r="126" spans="1:9" ht="15">
      <c r="A126" s="43"/>
      <c r="B126" s="57"/>
      <c r="C126" s="57"/>
      <c r="D126" s="57"/>
      <c r="E126" s="57"/>
      <c r="F126" s="57"/>
      <c r="G126" s="57"/>
      <c r="H126" s="57"/>
      <c r="I126" s="48">
        <f>+F126+G126+H126</f>
        <v>0</v>
      </c>
    </row>
    <row r="127" spans="1:9" ht="15">
      <c r="A127" s="43"/>
      <c r="B127" s="57"/>
      <c r="C127" s="57"/>
      <c r="D127" s="57"/>
      <c r="E127" s="57"/>
      <c r="F127" s="57"/>
      <c r="G127" s="57"/>
      <c r="H127" s="57"/>
      <c r="I127" s="48">
        <f>+F127+G127+H127</f>
        <v>0</v>
      </c>
    </row>
    <row r="128" spans="1:9" ht="15">
      <c r="A128" s="43"/>
      <c r="B128" s="57"/>
      <c r="C128" s="57"/>
      <c r="D128" s="57"/>
      <c r="E128" s="57"/>
      <c r="F128" s="57"/>
      <c r="G128" s="57"/>
      <c r="H128" s="57"/>
      <c r="I128" s="48">
        <f>+F128+G128+H128</f>
        <v>0</v>
      </c>
    </row>
    <row r="129" spans="1:9" ht="15">
      <c r="A129" s="43"/>
      <c r="B129" s="57"/>
      <c r="C129" s="57"/>
      <c r="D129" s="57"/>
      <c r="E129" s="57"/>
      <c r="F129" s="57"/>
      <c r="G129" s="57"/>
      <c r="H129" s="57"/>
      <c r="I129" s="48">
        <f>+F129+G129+H129</f>
        <v>0</v>
      </c>
    </row>
    <row r="130" spans="1:9" ht="15">
      <c r="A130" s="43"/>
      <c r="B130" s="57"/>
      <c r="C130" s="57"/>
      <c r="D130" s="57"/>
      <c r="E130" s="57"/>
      <c r="F130" s="57"/>
      <c r="G130" s="57"/>
      <c r="H130" s="57"/>
      <c r="I130" s="48">
        <f>+F130+G130+H130</f>
        <v>0</v>
      </c>
    </row>
    <row r="131" spans="1:9" ht="15">
      <c r="A131" s="43"/>
      <c r="B131" s="57"/>
      <c r="C131" s="57"/>
      <c r="D131" s="57"/>
      <c r="E131" s="57"/>
      <c r="F131" s="57"/>
      <c r="G131" s="57"/>
      <c r="H131" s="57"/>
      <c r="I131" s="48">
        <f>+F131+G131+H131</f>
        <v>0</v>
      </c>
    </row>
    <row r="132" spans="1:9" ht="15">
      <c r="A132" s="43"/>
      <c r="B132" s="57"/>
      <c r="C132" s="57"/>
      <c r="D132" s="57"/>
      <c r="E132" s="57"/>
      <c r="F132" s="57"/>
      <c r="G132" s="57"/>
      <c r="H132" s="57"/>
      <c r="I132" s="48">
        <f>+F132+G132+H132</f>
        <v>0</v>
      </c>
    </row>
    <row r="133" spans="1:9" ht="15">
      <c r="A133" s="43"/>
      <c r="B133" s="57"/>
      <c r="C133" s="57"/>
      <c r="D133" s="57"/>
      <c r="E133" s="57"/>
      <c r="F133" s="57"/>
      <c r="G133" s="57"/>
      <c r="H133" s="57"/>
      <c r="I133" s="48">
        <f>+F133+G133+H133</f>
        <v>0</v>
      </c>
    </row>
    <row r="134" spans="1:9" ht="15">
      <c r="A134" s="43"/>
      <c r="B134" s="57"/>
      <c r="C134" s="57"/>
      <c r="D134" s="57"/>
      <c r="E134" s="57"/>
      <c r="F134" s="57"/>
      <c r="G134" s="57"/>
      <c r="H134" s="57"/>
      <c r="I134" s="48">
        <f>+F134+G134+H134</f>
        <v>0</v>
      </c>
    </row>
    <row r="135" spans="1:9" ht="15">
      <c r="A135" s="43"/>
      <c r="B135" s="57"/>
      <c r="C135" s="57"/>
      <c r="D135" s="57"/>
      <c r="E135" s="57"/>
      <c r="F135" s="57"/>
      <c r="G135" s="57"/>
      <c r="H135" s="57"/>
      <c r="I135" s="48">
        <f>+F135+G135+H135</f>
        <v>0</v>
      </c>
    </row>
    <row r="136" spans="1:9" ht="15">
      <c r="A136" s="43"/>
      <c r="B136" s="57"/>
      <c r="C136" s="57"/>
      <c r="D136" s="57"/>
      <c r="E136" s="57"/>
      <c r="F136" s="57"/>
      <c r="G136" s="57"/>
      <c r="H136" s="57"/>
      <c r="I136" s="48">
        <f>+F136+G136+H136</f>
        <v>0</v>
      </c>
    </row>
    <row r="137" spans="1:9" ht="15">
      <c r="A137" s="43"/>
      <c r="B137" s="57"/>
      <c r="C137" s="57"/>
      <c r="D137" s="57"/>
      <c r="E137" s="57"/>
      <c r="F137" s="57"/>
      <c r="G137" s="57"/>
      <c r="H137" s="57"/>
      <c r="I137" s="48">
        <f>+F137+G137+H137</f>
        <v>0</v>
      </c>
    </row>
    <row r="138" spans="1:9" ht="15">
      <c r="A138" s="43"/>
      <c r="B138" s="57"/>
      <c r="C138" s="57"/>
      <c r="D138" s="57"/>
      <c r="E138" s="57"/>
      <c r="F138" s="57"/>
      <c r="G138" s="57"/>
      <c r="H138" s="57"/>
      <c r="I138" s="48">
        <f>+F138+G138+H138</f>
        <v>0</v>
      </c>
    </row>
    <row r="139" spans="1:9" ht="15">
      <c r="A139" s="43"/>
      <c r="B139" s="57"/>
      <c r="C139" s="57"/>
      <c r="D139" s="57"/>
      <c r="E139" s="57"/>
      <c r="F139" s="57"/>
      <c r="G139" s="57"/>
      <c r="H139" s="57"/>
      <c r="I139" s="48">
        <f>+F139+G139+H139</f>
        <v>0</v>
      </c>
    </row>
    <row r="140" spans="1:9" ht="15">
      <c r="A140" s="43"/>
      <c r="B140" s="57"/>
      <c r="C140" s="57"/>
      <c r="D140" s="57"/>
      <c r="E140" s="57"/>
      <c r="F140" s="57"/>
      <c r="G140" s="57"/>
      <c r="H140" s="57"/>
      <c r="I140" s="48">
        <f>+F140+G140+H140</f>
        <v>0</v>
      </c>
    </row>
    <row r="141" spans="1:9" ht="15">
      <c r="A141" s="43"/>
      <c r="B141" s="57"/>
      <c r="C141" s="57"/>
      <c r="D141" s="57"/>
      <c r="E141" s="57"/>
      <c r="F141" s="57"/>
      <c r="G141" s="57"/>
      <c r="H141" s="57"/>
      <c r="I141" s="48">
        <f>+F141+G141+H141</f>
        <v>0</v>
      </c>
    </row>
    <row r="142" spans="1:9" ht="15">
      <c r="A142" s="43"/>
      <c r="B142" s="57"/>
      <c r="C142" s="57"/>
      <c r="D142" s="57"/>
      <c r="E142" s="57"/>
      <c r="F142" s="57"/>
      <c r="G142" s="57"/>
      <c r="H142" s="57"/>
      <c r="I142" s="48">
        <f>+F142+G142+H142</f>
        <v>0</v>
      </c>
    </row>
    <row r="143" spans="1:9" ht="15">
      <c r="A143" s="43"/>
      <c r="B143" s="57"/>
      <c r="C143" s="57"/>
      <c r="D143" s="57"/>
      <c r="E143" s="57"/>
      <c r="F143" s="57"/>
      <c r="G143" s="57"/>
      <c r="H143" s="57"/>
      <c r="I143" s="48">
        <f>+F143+G143+H143</f>
        <v>0</v>
      </c>
    </row>
    <row r="144" spans="1:9" ht="15">
      <c r="A144" s="43"/>
      <c r="B144" s="57"/>
      <c r="C144" s="57"/>
      <c r="D144" s="57"/>
      <c r="E144" s="57"/>
      <c r="F144" s="57"/>
      <c r="G144" s="57"/>
      <c r="H144" s="57"/>
      <c r="I144" s="48">
        <f>+F144+G144+H144</f>
        <v>0</v>
      </c>
    </row>
    <row r="145" spans="1:9" ht="15">
      <c r="A145" s="43"/>
      <c r="B145" s="57"/>
      <c r="C145" s="57"/>
      <c r="D145" s="57"/>
      <c r="E145" s="57"/>
      <c r="F145" s="57"/>
      <c r="G145" s="57"/>
      <c r="H145" s="57"/>
      <c r="I145" s="48">
        <f>+F145+G145+H145</f>
        <v>0</v>
      </c>
    </row>
    <row r="146" spans="1:9" ht="15">
      <c r="A146" s="43"/>
      <c r="B146" s="57"/>
      <c r="C146" s="57"/>
      <c r="D146" s="57"/>
      <c r="E146" s="57"/>
      <c r="F146" s="57"/>
      <c r="G146" s="57"/>
      <c r="H146" s="57"/>
      <c r="I146" s="48">
        <f>+F146+G146+H146</f>
        <v>0</v>
      </c>
    </row>
    <row r="147" spans="1:9" ht="15">
      <c r="A147" s="43"/>
      <c r="B147" s="57"/>
      <c r="C147" s="57"/>
      <c r="D147" s="57"/>
      <c r="E147" s="57"/>
      <c r="F147" s="57"/>
      <c r="G147" s="57"/>
      <c r="H147" s="57"/>
      <c r="I147" s="48">
        <f>+F147+G147+H147</f>
        <v>0</v>
      </c>
    </row>
    <row r="148" spans="1:9" ht="15">
      <c r="A148" s="43"/>
      <c r="B148" s="57"/>
      <c r="C148" s="57"/>
      <c r="D148" s="57"/>
      <c r="E148" s="57"/>
      <c r="F148" s="57"/>
      <c r="G148" s="57"/>
      <c r="H148" s="57"/>
      <c r="I148" s="48">
        <f>+F148+G148+H148</f>
        <v>0</v>
      </c>
    </row>
    <row r="149" spans="1:9" ht="15">
      <c r="A149" s="43"/>
      <c r="B149" s="57"/>
      <c r="C149" s="57"/>
      <c r="D149" s="57"/>
      <c r="E149" s="57"/>
      <c r="F149" s="57"/>
      <c r="G149" s="57"/>
      <c r="H149" s="57"/>
      <c r="I149" s="48">
        <f>+F149+G149+H149</f>
        <v>0</v>
      </c>
    </row>
    <row r="150" spans="1:9" ht="15">
      <c r="A150" s="43"/>
      <c r="B150" s="57"/>
      <c r="C150" s="57"/>
      <c r="D150" s="57"/>
      <c r="E150" s="57"/>
      <c r="F150" s="57"/>
      <c r="G150" s="57"/>
      <c r="H150" s="57"/>
      <c r="I150" s="48">
        <f>+F150+G150+H150</f>
        <v>0</v>
      </c>
    </row>
    <row r="151" spans="1:9" ht="15">
      <c r="A151" s="43"/>
      <c r="B151" s="57"/>
      <c r="C151" s="57"/>
      <c r="D151" s="57"/>
      <c r="E151" s="57"/>
      <c r="F151" s="57"/>
      <c r="G151" s="57"/>
      <c r="H151" s="57"/>
      <c r="I151" s="48">
        <f>+F151+G151+H151</f>
        <v>0</v>
      </c>
    </row>
    <row r="152" spans="1:9" ht="15">
      <c r="A152" s="43"/>
      <c r="B152" s="57"/>
      <c r="C152" s="57"/>
      <c r="D152" s="57"/>
      <c r="E152" s="57"/>
      <c r="F152" s="57"/>
      <c r="G152" s="57"/>
      <c r="H152" s="57"/>
      <c r="I152" s="48">
        <f>+F152+G152+H152</f>
        <v>0</v>
      </c>
    </row>
    <row r="153" spans="1:9" ht="15">
      <c r="A153" s="43"/>
      <c r="B153" s="57"/>
      <c r="C153" s="57"/>
      <c r="D153" s="57"/>
      <c r="E153" s="57"/>
      <c r="F153" s="57"/>
      <c r="G153" s="57"/>
      <c r="H153" s="57"/>
      <c r="I153" s="48">
        <f>+F153+G153+H153</f>
        <v>0</v>
      </c>
    </row>
    <row r="154" spans="1:9" ht="15">
      <c r="A154" s="43"/>
      <c r="B154" s="57"/>
      <c r="C154" s="57"/>
      <c r="D154" s="57"/>
      <c r="E154" s="57"/>
      <c r="F154" s="57"/>
      <c r="G154" s="57"/>
      <c r="H154" s="57"/>
      <c r="I154" s="48">
        <f>+F154+G154+H154</f>
        <v>0</v>
      </c>
    </row>
    <row r="155" spans="1:9" ht="15">
      <c r="A155" s="43"/>
      <c r="B155" s="57"/>
      <c r="C155" s="57"/>
      <c r="D155" s="57"/>
      <c r="E155" s="57"/>
      <c r="F155" s="57"/>
      <c r="G155" s="57"/>
      <c r="H155" s="57"/>
      <c r="I155" s="48">
        <f>+F155+G155+H155</f>
        <v>0</v>
      </c>
    </row>
    <row r="156" spans="1:9" ht="15">
      <c r="A156" s="43"/>
      <c r="B156" s="57"/>
      <c r="C156" s="57"/>
      <c r="D156" s="57"/>
      <c r="E156" s="57"/>
      <c r="F156" s="57"/>
      <c r="G156" s="57"/>
      <c r="H156" s="57"/>
      <c r="I156" s="48">
        <f>+F156+G156+H156</f>
        <v>0</v>
      </c>
    </row>
    <row r="157" spans="1:9" ht="15">
      <c r="A157" s="43"/>
      <c r="B157" s="57"/>
      <c r="C157" s="57"/>
      <c r="D157" s="57"/>
      <c r="E157" s="57"/>
      <c r="F157" s="57"/>
      <c r="G157" s="57"/>
      <c r="H157" s="57"/>
      <c r="I157" s="48">
        <f>+F157+G157+H157</f>
        <v>0</v>
      </c>
    </row>
    <row r="158" spans="1:9" ht="15">
      <c r="A158" s="43"/>
      <c r="B158" s="57"/>
      <c r="C158" s="57"/>
      <c r="D158" s="57"/>
      <c r="E158" s="57"/>
      <c r="F158" s="57"/>
      <c r="G158" s="57"/>
      <c r="H158" s="57"/>
      <c r="I158" s="48">
        <f>+F158+G158+H158</f>
        <v>0</v>
      </c>
    </row>
    <row r="159" spans="1:9" ht="15">
      <c r="A159" s="43"/>
      <c r="B159" s="57"/>
      <c r="C159" s="57"/>
      <c r="D159" s="57"/>
      <c r="E159" s="57"/>
      <c r="F159" s="57"/>
      <c r="G159" s="57"/>
      <c r="H159" s="57"/>
      <c r="I159" s="48">
        <f>+F159+G159+H159</f>
        <v>0</v>
      </c>
    </row>
    <row r="160" spans="1:9" ht="15">
      <c r="A160" s="43"/>
      <c r="B160" s="57"/>
      <c r="C160" s="57"/>
      <c r="D160" s="57"/>
      <c r="E160" s="57"/>
      <c r="F160" s="57"/>
      <c r="G160" s="57"/>
      <c r="H160" s="57"/>
      <c r="I160" s="48">
        <f>+F160+G160+H160</f>
        <v>0</v>
      </c>
    </row>
    <row r="161" spans="1:9" ht="15">
      <c r="A161" s="43"/>
      <c r="B161" s="57"/>
      <c r="C161" s="57"/>
      <c r="D161" s="57"/>
      <c r="E161" s="57"/>
      <c r="F161" s="57"/>
      <c r="G161" s="57"/>
      <c r="H161" s="57"/>
      <c r="I161" s="48">
        <f>+F161+G161+H161</f>
        <v>0</v>
      </c>
    </row>
    <row r="162" spans="1:9" ht="15">
      <c r="A162" s="43"/>
      <c r="B162" s="57"/>
      <c r="C162" s="57"/>
      <c r="D162" s="57"/>
      <c r="E162" s="57"/>
      <c r="F162" s="57"/>
      <c r="G162" s="57"/>
      <c r="H162" s="57"/>
      <c r="I162" s="48">
        <f>+F162+G162+H162</f>
        <v>0</v>
      </c>
    </row>
    <row r="163" spans="1:9" ht="15">
      <c r="A163" s="43"/>
      <c r="B163" s="57"/>
      <c r="C163" s="57"/>
      <c r="D163" s="57"/>
      <c r="E163" s="57"/>
      <c r="F163" s="57"/>
      <c r="G163" s="57"/>
      <c r="H163" s="57"/>
      <c r="I163" s="48">
        <f>+F163+G163+H163</f>
        <v>0</v>
      </c>
    </row>
    <row r="164" spans="1:9" ht="15">
      <c r="A164" s="43"/>
      <c r="B164" s="57"/>
      <c r="C164" s="57"/>
      <c r="D164" s="57"/>
      <c r="E164" s="57"/>
      <c r="F164" s="57"/>
      <c r="G164" s="57"/>
      <c r="H164" s="57"/>
      <c r="I164" s="48">
        <f>+F164+G164+H164</f>
        <v>0</v>
      </c>
    </row>
    <row r="165" spans="1:9" ht="15">
      <c r="A165" s="43"/>
      <c r="B165" s="57"/>
      <c r="C165" s="57"/>
      <c r="D165" s="57"/>
      <c r="E165" s="57"/>
      <c r="F165" s="57"/>
      <c r="G165" s="57"/>
      <c r="H165" s="57"/>
      <c r="I165" s="48">
        <f>+F165+G165+H165</f>
        <v>0</v>
      </c>
    </row>
    <row r="166" spans="1:9" ht="15">
      <c r="A166" s="43"/>
      <c r="B166" s="57"/>
      <c r="C166" s="57"/>
      <c r="D166" s="57"/>
      <c r="E166" s="57"/>
      <c r="F166" s="57"/>
      <c r="G166" s="57"/>
      <c r="H166" s="57"/>
      <c r="I166" s="48">
        <f>+F166+G166+H166</f>
        <v>0</v>
      </c>
    </row>
    <row r="167" spans="1:9" ht="15">
      <c r="A167" s="43"/>
      <c r="B167" s="57"/>
      <c r="C167" s="57"/>
      <c r="D167" s="57"/>
      <c r="E167" s="57"/>
      <c r="F167" s="57"/>
      <c r="G167" s="57"/>
      <c r="H167" s="57"/>
      <c r="I167" s="48">
        <f>+F167+G167+H167</f>
        <v>0</v>
      </c>
    </row>
    <row r="168" spans="1:9" ht="15">
      <c r="A168" s="43"/>
      <c r="B168" s="57"/>
      <c r="C168" s="57"/>
      <c r="D168" s="57"/>
      <c r="E168" s="57"/>
      <c r="F168" s="57"/>
      <c r="G168" s="57"/>
      <c r="H168" s="57"/>
      <c r="I168" s="48">
        <f>+F168+G168+H168</f>
        <v>0</v>
      </c>
    </row>
    <row r="169" spans="1:9" ht="15">
      <c r="A169" s="43"/>
      <c r="B169" s="57"/>
      <c r="C169" s="57"/>
      <c r="D169" s="57"/>
      <c r="E169" s="57"/>
      <c r="F169" s="57"/>
      <c r="G169" s="57"/>
      <c r="H169" s="57"/>
      <c r="I169" s="48">
        <f>+F169+G169+H169</f>
        <v>0</v>
      </c>
    </row>
    <row r="170" spans="1:9" ht="15">
      <c r="A170" s="43"/>
      <c r="B170" s="57"/>
      <c r="C170" s="57"/>
      <c r="D170" s="57"/>
      <c r="E170" s="57"/>
      <c r="F170" s="57"/>
      <c r="G170" s="57"/>
      <c r="H170" s="57"/>
      <c r="I170" s="48">
        <f>+F170+G170+H170</f>
        <v>0</v>
      </c>
    </row>
    <row r="171" spans="1:9" ht="15">
      <c r="A171" s="43"/>
      <c r="B171" s="57"/>
      <c r="C171" s="57"/>
      <c r="D171" s="57"/>
      <c r="E171" s="57"/>
      <c r="F171" s="57"/>
      <c r="G171" s="57"/>
      <c r="H171" s="57"/>
      <c r="I171" s="48">
        <f>+F171+G171+H171</f>
        <v>0</v>
      </c>
    </row>
    <row r="172" spans="1:9" ht="15">
      <c r="A172" s="43"/>
      <c r="B172" s="57"/>
      <c r="C172" s="57"/>
      <c r="D172" s="57"/>
      <c r="E172" s="57"/>
      <c r="F172" s="57"/>
      <c r="G172" s="57"/>
      <c r="H172" s="57"/>
      <c r="I172" s="48">
        <f>+F172+G172+H172</f>
        <v>0</v>
      </c>
    </row>
    <row r="173" spans="1:9" ht="15">
      <c r="A173" s="43"/>
      <c r="B173" s="57"/>
      <c r="C173" s="57"/>
      <c r="D173" s="57"/>
      <c r="E173" s="57"/>
      <c r="F173" s="57"/>
      <c r="G173" s="57"/>
      <c r="H173" s="57"/>
      <c r="I173" s="48">
        <f>+F173+G173+H173</f>
        <v>0</v>
      </c>
    </row>
    <row r="174" spans="1:9" ht="15">
      <c r="A174" s="43"/>
      <c r="B174" s="57"/>
      <c r="C174" s="57"/>
      <c r="D174" s="57"/>
      <c r="E174" s="57"/>
      <c r="F174" s="57"/>
      <c r="G174" s="57"/>
      <c r="H174" s="57"/>
      <c r="I174" s="48">
        <f>+F174+G174+H174</f>
        <v>0</v>
      </c>
    </row>
    <row r="175" spans="1:9" ht="15">
      <c r="A175" s="43"/>
      <c r="B175" s="57"/>
      <c r="C175" s="57"/>
      <c r="D175" s="57"/>
      <c r="E175" s="57"/>
      <c r="F175" s="57"/>
      <c r="G175" s="57"/>
      <c r="H175" s="57"/>
      <c r="I175" s="48">
        <f>+F175+G175+H175</f>
        <v>0</v>
      </c>
    </row>
    <row r="176" spans="1:9" ht="15">
      <c r="A176" s="43"/>
      <c r="B176" s="57"/>
      <c r="C176" s="57"/>
      <c r="D176" s="57"/>
      <c r="E176" s="57"/>
      <c r="F176" s="57"/>
      <c r="G176" s="57"/>
      <c r="H176" s="57"/>
      <c r="I176" s="48">
        <f>+F176+G176+H176</f>
        <v>0</v>
      </c>
    </row>
    <row r="177" spans="1:9" ht="15">
      <c r="A177" s="43"/>
      <c r="B177" s="57"/>
      <c r="C177" s="57"/>
      <c r="D177" s="57"/>
      <c r="E177" s="57"/>
      <c r="F177" s="57"/>
      <c r="G177" s="57"/>
      <c r="H177" s="57"/>
      <c r="I177" s="48">
        <f>+F177+G177+H177</f>
        <v>0</v>
      </c>
    </row>
    <row r="178" spans="1:9" ht="15">
      <c r="A178" s="43"/>
      <c r="B178" s="57"/>
      <c r="C178" s="57"/>
      <c r="D178" s="57"/>
      <c r="E178" s="57"/>
      <c r="F178" s="57"/>
      <c r="G178" s="57"/>
      <c r="H178" s="57"/>
      <c r="I178" s="48">
        <f>+F178+G178+H178</f>
        <v>0</v>
      </c>
    </row>
    <row r="179" spans="1:9" ht="15">
      <c r="A179" s="43"/>
      <c r="B179" s="57"/>
      <c r="C179" s="57"/>
      <c r="D179" s="57"/>
      <c r="E179" s="57"/>
      <c r="F179" s="57"/>
      <c r="G179" s="57"/>
      <c r="H179" s="57"/>
      <c r="I179" s="48">
        <f>+F179+G179+H179</f>
        <v>0</v>
      </c>
    </row>
    <row r="180" spans="1:9" ht="15">
      <c r="A180" s="43"/>
      <c r="B180" s="57"/>
      <c r="C180" s="57"/>
      <c r="D180" s="57"/>
      <c r="E180" s="57"/>
      <c r="F180" s="57"/>
      <c r="G180" s="57"/>
      <c r="H180" s="57"/>
      <c r="I180" s="48">
        <f>+F180+G180+H180</f>
        <v>0</v>
      </c>
    </row>
    <row r="181" spans="1:9" ht="15">
      <c r="A181" s="43"/>
      <c r="B181" s="57"/>
      <c r="C181" s="57"/>
      <c r="D181" s="57"/>
      <c r="E181" s="57"/>
      <c r="F181" s="57"/>
      <c r="G181" s="57"/>
      <c r="H181" s="57"/>
      <c r="I181" s="48">
        <f>+F181+G181+H181</f>
        <v>0</v>
      </c>
    </row>
    <row r="182" spans="1:9" ht="15">
      <c r="A182" s="43"/>
      <c r="B182" s="57"/>
      <c r="C182" s="57"/>
      <c r="D182" s="57"/>
      <c r="E182" s="57"/>
      <c r="F182" s="57"/>
      <c r="G182" s="57"/>
      <c r="H182" s="57"/>
      <c r="I182" s="48">
        <f>+F182+G182+H182</f>
        <v>0</v>
      </c>
    </row>
    <row r="183" spans="1:9" ht="15">
      <c r="A183" s="43"/>
      <c r="B183" s="57"/>
      <c r="C183" s="57"/>
      <c r="D183" s="57"/>
      <c r="E183" s="57"/>
      <c r="F183" s="57"/>
      <c r="G183" s="57"/>
      <c r="H183" s="57"/>
      <c r="I183" s="48">
        <f>+F183+G183+H183</f>
        <v>0</v>
      </c>
    </row>
    <row r="184" spans="1:9" ht="15">
      <c r="A184" s="43"/>
      <c r="B184" s="57"/>
      <c r="C184" s="57"/>
      <c r="D184" s="57"/>
      <c r="E184" s="57"/>
      <c r="F184" s="57"/>
      <c r="G184" s="57"/>
      <c r="H184" s="57"/>
      <c r="I184" s="48">
        <f>+F184+G184+H184</f>
        <v>0</v>
      </c>
    </row>
    <row r="185" spans="1:9" ht="15">
      <c r="A185" s="43"/>
      <c r="B185" s="57"/>
      <c r="C185" s="57"/>
      <c r="D185" s="57"/>
      <c r="E185" s="57"/>
      <c r="F185" s="57"/>
      <c r="G185" s="57"/>
      <c r="H185" s="57"/>
      <c r="I185" s="48">
        <f>+F185+G185+H185</f>
        <v>0</v>
      </c>
    </row>
    <row r="186" spans="1:9" ht="15">
      <c r="A186" s="43"/>
      <c r="B186" s="57"/>
      <c r="C186" s="57"/>
      <c r="D186" s="57"/>
      <c r="E186" s="57"/>
      <c r="F186" s="57"/>
      <c r="G186" s="57"/>
      <c r="H186" s="57"/>
      <c r="I186" s="48">
        <f>+F186+G186+H186</f>
        <v>0</v>
      </c>
    </row>
    <row r="187" spans="1:9" ht="15">
      <c r="A187" s="43"/>
      <c r="B187" s="57"/>
      <c r="C187" s="57"/>
      <c r="D187" s="57"/>
      <c r="E187" s="57"/>
      <c r="F187" s="57"/>
      <c r="G187" s="57"/>
      <c r="H187" s="57"/>
      <c r="I187" s="48">
        <f>+F187+G187+H187</f>
        <v>0</v>
      </c>
    </row>
    <row r="188" spans="2:9" ht="15">
      <c r="B188" s="57"/>
      <c r="C188" s="57"/>
      <c r="D188" s="57"/>
      <c r="E188" s="57"/>
      <c r="F188" s="57"/>
      <c r="G188" s="57"/>
      <c r="H188" s="57"/>
      <c r="I188" s="48">
        <f>+F188+G188+H188</f>
        <v>0</v>
      </c>
    </row>
    <row r="189" spans="2:9" ht="15">
      <c r="B189" s="57"/>
      <c r="C189" s="57"/>
      <c r="D189" s="57"/>
      <c r="E189" s="57"/>
      <c r="F189" s="57"/>
      <c r="G189" s="57"/>
      <c r="H189" s="57"/>
      <c r="I189" s="48">
        <f>+F189+G189+H189</f>
        <v>0</v>
      </c>
    </row>
    <row r="190" spans="2:9" ht="15">
      <c r="B190" s="57"/>
      <c r="C190" s="57"/>
      <c r="D190" s="57"/>
      <c r="E190" s="57"/>
      <c r="F190" s="57"/>
      <c r="G190" s="57"/>
      <c r="H190" s="57"/>
      <c r="I190" s="48">
        <f>+F190+G190+H190</f>
        <v>0</v>
      </c>
    </row>
    <row r="191" spans="2:9" ht="15">
      <c r="B191" s="57"/>
      <c r="C191" s="57"/>
      <c r="D191" s="57"/>
      <c r="E191" s="57"/>
      <c r="F191" s="57"/>
      <c r="G191" s="57"/>
      <c r="H191" s="57"/>
      <c r="I191" s="48">
        <f>+F191+G191+H191</f>
        <v>0</v>
      </c>
    </row>
    <row r="192" spans="2:9" ht="15">
      <c r="B192" s="57"/>
      <c r="C192" s="57"/>
      <c r="D192" s="57"/>
      <c r="E192" s="57"/>
      <c r="F192" s="57"/>
      <c r="G192" s="57"/>
      <c r="H192" s="57"/>
      <c r="I192" s="48">
        <f>+F192+G192+H192</f>
        <v>0</v>
      </c>
    </row>
    <row r="193" spans="2:9" ht="15">
      <c r="B193" s="57"/>
      <c r="C193" s="57"/>
      <c r="D193" s="57"/>
      <c r="E193" s="57"/>
      <c r="F193" s="57"/>
      <c r="G193" s="57"/>
      <c r="H193" s="57"/>
      <c r="I193" s="48">
        <f>+F193+G193+H193</f>
        <v>0</v>
      </c>
    </row>
    <row r="194" spans="2:9" ht="15">
      <c r="B194" s="57"/>
      <c r="C194" s="57"/>
      <c r="D194" s="57"/>
      <c r="E194" s="57"/>
      <c r="F194" s="57"/>
      <c r="G194" s="57"/>
      <c r="H194" s="57"/>
      <c r="I194" s="48">
        <f>+F194+G194+H194</f>
        <v>0</v>
      </c>
    </row>
    <row r="195" spans="2:9" ht="15">
      <c r="B195" s="57"/>
      <c r="C195" s="57"/>
      <c r="D195" s="57"/>
      <c r="E195" s="57"/>
      <c r="F195" s="57"/>
      <c r="G195" s="57"/>
      <c r="H195" s="57"/>
      <c r="I195" s="48">
        <f>+F195+G195+H195</f>
        <v>0</v>
      </c>
    </row>
    <row r="196" spans="2:9" ht="15">
      <c r="B196" s="57"/>
      <c r="C196" s="57"/>
      <c r="D196" s="57"/>
      <c r="E196" s="57"/>
      <c r="F196" s="57"/>
      <c r="G196" s="57"/>
      <c r="H196" s="57"/>
      <c r="I196" s="48">
        <f>+F196+G196+H196</f>
        <v>0</v>
      </c>
    </row>
    <row r="197" spans="1:9" ht="15">
      <c r="A197" s="43"/>
      <c r="B197" s="57"/>
      <c r="C197" s="57"/>
      <c r="D197" s="57"/>
      <c r="E197" s="57"/>
      <c r="F197" s="57"/>
      <c r="G197" s="57"/>
      <c r="H197" s="57"/>
      <c r="I197" s="48">
        <f>+F197+G197+H197</f>
        <v>0</v>
      </c>
    </row>
    <row r="198" spans="1:9" ht="15">
      <c r="A198" s="43"/>
      <c r="B198" s="57"/>
      <c r="C198" s="57"/>
      <c r="D198" s="57"/>
      <c r="E198" s="57"/>
      <c r="F198" s="57"/>
      <c r="G198" s="57"/>
      <c r="H198" s="57"/>
      <c r="I198" s="48">
        <f>+F198+G198+H198</f>
        <v>0</v>
      </c>
    </row>
    <row r="199" spans="1:9" ht="15">
      <c r="A199" s="43"/>
      <c r="B199" s="57"/>
      <c r="C199" s="57"/>
      <c r="D199" s="57"/>
      <c r="E199" s="57"/>
      <c r="F199" s="57"/>
      <c r="G199" s="57"/>
      <c r="H199" s="57"/>
      <c r="I199" s="48">
        <f>+F199+G199+H199</f>
        <v>0</v>
      </c>
    </row>
    <row r="200" spans="1:9" ht="15">
      <c r="A200" s="43"/>
      <c r="B200" s="57"/>
      <c r="C200" s="57"/>
      <c r="D200" s="57"/>
      <c r="E200" s="57"/>
      <c r="F200" s="57"/>
      <c r="G200" s="57"/>
      <c r="H200" s="57"/>
      <c r="I200" s="48">
        <f>+F200+G200+H200</f>
        <v>0</v>
      </c>
    </row>
    <row r="201" spans="1:9" ht="15">
      <c r="A201" s="43"/>
      <c r="B201" s="57"/>
      <c r="C201" s="57"/>
      <c r="D201" s="57"/>
      <c r="E201" s="57"/>
      <c r="F201" s="57"/>
      <c r="G201" s="57"/>
      <c r="H201" s="57"/>
      <c r="I201" s="48">
        <f>+F201+G201+H201</f>
        <v>0</v>
      </c>
    </row>
    <row r="202" spans="1:9" ht="15">
      <c r="A202" s="43"/>
      <c r="B202" s="57"/>
      <c r="C202" s="57"/>
      <c r="D202" s="57"/>
      <c r="E202" s="57"/>
      <c r="F202" s="57"/>
      <c r="G202" s="57"/>
      <c r="H202" s="57"/>
      <c r="I202" s="48">
        <f>+F202+G202+H202</f>
        <v>0</v>
      </c>
    </row>
    <row r="203" spans="1:9" ht="15">
      <c r="A203" s="43"/>
      <c r="B203" s="57"/>
      <c r="C203" s="57"/>
      <c r="D203" s="57"/>
      <c r="E203" s="57"/>
      <c r="F203" s="57"/>
      <c r="G203" s="57"/>
      <c r="H203" s="57"/>
      <c r="I203" s="48">
        <f>+F203+G203+H203</f>
        <v>0</v>
      </c>
    </row>
    <row r="204" spans="1:9" ht="15">
      <c r="A204" s="43"/>
      <c r="B204" s="57"/>
      <c r="C204" s="57"/>
      <c r="D204" s="57"/>
      <c r="E204" s="57"/>
      <c r="F204" s="57"/>
      <c r="G204" s="57"/>
      <c r="H204" s="57"/>
      <c r="I204" s="48">
        <f>+F204+G204+H204</f>
        <v>0</v>
      </c>
    </row>
    <row r="205" spans="1:9" ht="15">
      <c r="A205" s="43"/>
      <c r="B205" s="57"/>
      <c r="C205" s="57"/>
      <c r="D205" s="57"/>
      <c r="E205" s="57"/>
      <c r="F205" s="57"/>
      <c r="G205" s="57"/>
      <c r="H205" s="57"/>
      <c r="I205" s="48">
        <f>+F205+G205+H205</f>
        <v>0</v>
      </c>
    </row>
    <row r="206" spans="1:9" ht="15">
      <c r="A206" s="43"/>
      <c r="B206" s="57"/>
      <c r="C206" s="57"/>
      <c r="D206" s="57"/>
      <c r="E206" s="57"/>
      <c r="F206" s="57"/>
      <c r="G206" s="57"/>
      <c r="H206" s="57"/>
      <c r="I206" s="48">
        <f>+F206+G206+H206</f>
        <v>0</v>
      </c>
    </row>
    <row r="207" spans="1:9" ht="15">
      <c r="A207" s="43"/>
      <c r="B207" s="57"/>
      <c r="C207" s="57"/>
      <c r="D207" s="57"/>
      <c r="E207" s="57"/>
      <c r="F207" s="57"/>
      <c r="G207" s="57"/>
      <c r="H207" s="57"/>
      <c r="I207" s="48">
        <f>+F207+G207+H207</f>
        <v>0</v>
      </c>
    </row>
    <row r="208" spans="1:9" ht="15">
      <c r="A208" s="43"/>
      <c r="B208" s="57"/>
      <c r="C208" s="57"/>
      <c r="D208" s="57"/>
      <c r="E208" s="57"/>
      <c r="F208" s="57"/>
      <c r="G208" s="57"/>
      <c r="H208" s="57"/>
      <c r="I208" s="48">
        <f>+F208+G208+H208</f>
        <v>0</v>
      </c>
    </row>
    <row r="209" spans="1:9" ht="15">
      <c r="A209" s="43"/>
      <c r="B209" s="57"/>
      <c r="C209" s="57"/>
      <c r="D209" s="57"/>
      <c r="E209" s="57"/>
      <c r="F209" s="57"/>
      <c r="G209" s="57"/>
      <c r="H209" s="57"/>
      <c r="I209" s="48">
        <f>+F209+G209+H209</f>
        <v>0</v>
      </c>
    </row>
    <row r="210" spans="1:9" ht="15">
      <c r="A210" s="43"/>
      <c r="B210" s="57"/>
      <c r="C210" s="57"/>
      <c r="D210" s="57"/>
      <c r="E210" s="57"/>
      <c r="F210" s="57"/>
      <c r="G210" s="57"/>
      <c r="H210" s="57"/>
      <c r="I210" s="48">
        <f>+F210+G210+H210</f>
        <v>0</v>
      </c>
    </row>
    <row r="211" spans="1:9" ht="15">
      <c r="A211" s="43"/>
      <c r="B211" s="57"/>
      <c r="C211" s="57"/>
      <c r="D211" s="57"/>
      <c r="E211" s="57"/>
      <c r="F211" s="57"/>
      <c r="G211" s="57"/>
      <c r="H211" s="57"/>
      <c r="I211" s="48">
        <f>+F211+G211+H211</f>
        <v>0</v>
      </c>
    </row>
    <row r="212" spans="1:9" ht="15">
      <c r="A212" s="43"/>
      <c r="B212" s="57"/>
      <c r="C212" s="57"/>
      <c r="D212" s="57"/>
      <c r="E212" s="57"/>
      <c r="F212" s="57"/>
      <c r="G212" s="57"/>
      <c r="H212" s="57"/>
      <c r="I212" s="48">
        <f>+F212+G212+H212</f>
        <v>0</v>
      </c>
    </row>
    <row r="213" spans="1:9" ht="15">
      <c r="A213" s="43"/>
      <c r="B213" s="57"/>
      <c r="C213" s="57"/>
      <c r="D213" s="57"/>
      <c r="E213" s="57"/>
      <c r="F213" s="57"/>
      <c r="G213" s="57"/>
      <c r="H213" s="57"/>
      <c r="I213" s="48">
        <f>+F213+G213+H213</f>
        <v>0</v>
      </c>
    </row>
    <row r="214" spans="1:9" ht="15">
      <c r="A214" s="43"/>
      <c r="B214" s="57"/>
      <c r="C214" s="57"/>
      <c r="D214" s="57"/>
      <c r="E214" s="57"/>
      <c r="F214" s="57"/>
      <c r="G214" s="57"/>
      <c r="H214" s="57"/>
      <c r="I214" s="48">
        <f>+F214+G214+H214</f>
        <v>0</v>
      </c>
    </row>
    <row r="215" spans="1:9" ht="15">
      <c r="A215" s="43"/>
      <c r="B215" s="57"/>
      <c r="C215" s="57"/>
      <c r="D215" s="57"/>
      <c r="E215" s="57"/>
      <c r="F215" s="57"/>
      <c r="G215" s="57"/>
      <c r="H215" s="57"/>
      <c r="I215" s="48">
        <f>+F215+G215+H215</f>
        <v>0</v>
      </c>
    </row>
    <row r="216" spans="1:9" ht="15">
      <c r="A216" s="43"/>
      <c r="B216" s="57"/>
      <c r="C216" s="57"/>
      <c r="D216" s="57"/>
      <c r="E216" s="57"/>
      <c r="F216" s="57"/>
      <c r="G216" s="57"/>
      <c r="H216" s="57"/>
      <c r="I216" s="48">
        <f>+F216+G216+H216</f>
        <v>0</v>
      </c>
    </row>
    <row r="217" spans="1:9" ht="15">
      <c r="A217" s="43"/>
      <c r="B217" s="57"/>
      <c r="C217" s="57"/>
      <c r="D217" s="57"/>
      <c r="E217" s="57"/>
      <c r="F217" s="57"/>
      <c r="G217" s="57"/>
      <c r="H217" s="57"/>
      <c r="I217" s="48">
        <f>+F217+G217+H217</f>
        <v>0</v>
      </c>
    </row>
    <row r="218" spans="1:9" ht="15">
      <c r="A218" s="43"/>
      <c r="B218" s="57"/>
      <c r="C218" s="57"/>
      <c r="D218" s="57"/>
      <c r="E218" s="57"/>
      <c r="F218" s="57"/>
      <c r="G218" s="57"/>
      <c r="H218" s="57"/>
      <c r="I218" s="48">
        <f>+F218+G218+H218</f>
        <v>0</v>
      </c>
    </row>
    <row r="219" spans="1:9" ht="15">
      <c r="A219" s="43"/>
      <c r="B219" s="57"/>
      <c r="C219" s="57"/>
      <c r="D219" s="57"/>
      <c r="E219" s="57"/>
      <c r="F219" s="57"/>
      <c r="G219" s="57"/>
      <c r="H219" s="57"/>
      <c r="I219" s="48">
        <f>+F219+G219+H219</f>
        <v>0</v>
      </c>
    </row>
    <row r="220" spans="1:9" ht="15">
      <c r="A220" s="43"/>
      <c r="B220" s="57"/>
      <c r="C220" s="57"/>
      <c r="D220" s="57"/>
      <c r="E220" s="57"/>
      <c r="F220" s="57"/>
      <c r="G220" s="57"/>
      <c r="H220" s="57"/>
      <c r="I220" s="48">
        <f>+F220+G220+H220</f>
        <v>0</v>
      </c>
    </row>
    <row r="221" spans="1:9" ht="15">
      <c r="A221" s="43"/>
      <c r="B221" s="65"/>
      <c r="C221" s="65"/>
      <c r="D221" s="65"/>
      <c r="E221" s="57"/>
      <c r="F221" s="57"/>
      <c r="G221" s="57"/>
      <c r="H221" s="57"/>
      <c r="I221" s="48">
        <f>+F221+G221+H221</f>
        <v>0</v>
      </c>
    </row>
    <row r="222" spans="1:9" ht="12.75">
      <c r="A222" s="60"/>
      <c r="B222" s="60"/>
      <c r="C222" s="60"/>
      <c r="D222" s="60"/>
      <c r="E222" s="56"/>
      <c r="F222" s="60"/>
      <c r="G222" s="53"/>
      <c r="H222" s="60"/>
      <c r="I222" s="48">
        <f>+F222+G222+H222</f>
        <v>0</v>
      </c>
    </row>
    <row r="223" spans="1:9" ht="12.75">
      <c r="A223" s="60"/>
      <c r="B223" s="60"/>
      <c r="C223" s="60"/>
      <c r="D223" s="60"/>
      <c r="E223" s="56"/>
      <c r="F223" s="60"/>
      <c r="G223" s="53"/>
      <c r="H223" s="60"/>
      <c r="I223" s="48">
        <f>+F223+G223+H223</f>
        <v>0</v>
      </c>
    </row>
    <row r="224" spans="1:9" ht="12.75">
      <c r="A224" s="60"/>
      <c r="B224" s="60"/>
      <c r="C224" s="60"/>
      <c r="D224" s="60"/>
      <c r="E224" s="60"/>
      <c r="F224" s="60"/>
      <c r="G224" s="53"/>
      <c r="H224" s="60"/>
      <c r="I224" s="48">
        <f>+F224+G224+H224</f>
        <v>0</v>
      </c>
    </row>
    <row r="225" spans="1:9" ht="12.75">
      <c r="A225" s="60"/>
      <c r="B225" s="60"/>
      <c r="C225" s="60"/>
      <c r="D225" s="60"/>
      <c r="E225" s="60"/>
      <c r="F225" s="60"/>
      <c r="G225" s="53"/>
      <c r="H225" s="60"/>
      <c r="I225" s="48">
        <f>+F225+G225+H225</f>
        <v>0</v>
      </c>
    </row>
    <row r="226" spans="1:9" ht="12.75">
      <c r="A226" s="60"/>
      <c r="B226" s="60"/>
      <c r="C226" s="60"/>
      <c r="D226" s="60"/>
      <c r="E226" s="60"/>
      <c r="F226" s="60"/>
      <c r="G226" s="53"/>
      <c r="H226" s="60"/>
      <c r="I226" s="48">
        <f>+F226+G226+H226</f>
        <v>0</v>
      </c>
    </row>
    <row r="227" spans="1:9" ht="12.75">
      <c r="A227" s="60"/>
      <c r="B227" s="60"/>
      <c r="C227" s="60"/>
      <c r="D227" s="60"/>
      <c r="E227" s="60"/>
      <c r="F227" s="60"/>
      <c r="G227" s="53"/>
      <c r="H227" s="60"/>
      <c r="I227" s="48">
        <f>+F227+G227+H227</f>
        <v>0</v>
      </c>
    </row>
    <row r="228" spans="1:9" ht="12.75">
      <c r="A228" s="60"/>
      <c r="B228" s="60"/>
      <c r="C228" s="60"/>
      <c r="D228" s="60"/>
      <c r="E228" s="60"/>
      <c r="F228" s="60"/>
      <c r="G228" s="53"/>
      <c r="H228" s="60"/>
      <c r="I228" s="60"/>
    </row>
  </sheetData>
  <sheetProtection/>
  <autoFilter ref="A2:I221">
    <sortState ref="A3:I228">
      <sortCondition descending="1" sortBy="value" ref="I3:I228"/>
    </sortState>
  </autoFilter>
  <mergeCells count="1">
    <mergeCell ref="A1:I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28125" style="67" bestFit="1" customWidth="1"/>
    <col min="2" max="2" width="9.421875" style="67" bestFit="1" customWidth="1"/>
    <col min="3" max="3" width="11.00390625" style="67" bestFit="1" customWidth="1"/>
    <col min="4" max="4" width="26.8515625" style="67" bestFit="1" customWidth="1"/>
    <col min="5" max="5" width="20.7109375" style="67" bestFit="1" customWidth="1"/>
    <col min="6" max="6" width="25.140625" style="67" bestFit="1" customWidth="1"/>
    <col min="7" max="7" width="18.421875" style="70" bestFit="1" customWidth="1"/>
    <col min="8" max="8" width="11.421875" style="67" bestFit="1" customWidth="1"/>
    <col min="9" max="9" width="10.8515625" style="67" bestFit="1" customWidth="1"/>
    <col min="10" max="16384" width="9.140625" style="67" customWidth="1"/>
  </cols>
  <sheetData>
    <row r="1" spans="1:9" ht="12.75">
      <c r="A1" s="99" t="s">
        <v>338</v>
      </c>
      <c r="B1" s="99"/>
      <c r="C1" s="99"/>
      <c r="D1" s="99"/>
      <c r="E1" s="99"/>
      <c r="F1" s="99"/>
      <c r="G1" s="99"/>
      <c r="H1" s="99"/>
      <c r="I1" s="99"/>
    </row>
    <row r="2" spans="1:9" ht="13.5" thickBot="1">
      <c r="A2" s="41" t="s">
        <v>234</v>
      </c>
      <c r="B2" s="41" t="s">
        <v>10</v>
      </c>
      <c r="C2" s="41" t="s">
        <v>11</v>
      </c>
      <c r="D2" s="41" t="s">
        <v>235</v>
      </c>
      <c r="E2" s="41" t="s">
        <v>13</v>
      </c>
      <c r="F2" s="41" t="s">
        <v>236</v>
      </c>
      <c r="G2" s="41" t="s">
        <v>237</v>
      </c>
      <c r="H2" s="41" t="s">
        <v>238</v>
      </c>
      <c r="I2" s="41" t="s">
        <v>239</v>
      </c>
    </row>
    <row r="3" spans="1:9" ht="13.5" thickTop="1">
      <c r="A3" s="71">
        <v>1</v>
      </c>
      <c r="B3" s="73" t="s">
        <v>48</v>
      </c>
      <c r="C3" s="73" t="s">
        <v>339</v>
      </c>
      <c r="D3" s="73" t="s">
        <v>340</v>
      </c>
      <c r="E3" s="71" t="s">
        <v>341</v>
      </c>
      <c r="F3" s="71">
        <f>30/20*12</f>
        <v>18</v>
      </c>
      <c r="G3" s="80">
        <f>30/20*17</f>
        <v>25.5</v>
      </c>
      <c r="H3" s="76"/>
      <c r="I3" s="42">
        <f>+F3+G3+H3</f>
        <v>43.5</v>
      </c>
    </row>
    <row r="4" spans="1:9" ht="12.75">
      <c r="A4" s="60">
        <v>2</v>
      </c>
      <c r="B4" s="53" t="s">
        <v>55</v>
      </c>
      <c r="C4" s="53" t="s">
        <v>53</v>
      </c>
      <c r="D4" s="53" t="s">
        <v>54</v>
      </c>
      <c r="E4" s="56" t="s">
        <v>346</v>
      </c>
      <c r="F4" s="60">
        <f>21/20*11</f>
        <v>11.55</v>
      </c>
      <c r="G4" s="81">
        <f>30/20*11</f>
        <v>16.5</v>
      </c>
      <c r="H4" s="69"/>
      <c r="I4" s="48">
        <f>+F4+G4+H4</f>
        <v>28.05</v>
      </c>
    </row>
    <row r="5" spans="1:9" ht="12.75">
      <c r="A5" s="60">
        <v>3</v>
      </c>
      <c r="B5" s="60" t="s">
        <v>48</v>
      </c>
      <c r="C5" s="60" t="s">
        <v>53</v>
      </c>
      <c r="D5" s="60" t="s">
        <v>349</v>
      </c>
      <c r="E5" s="56" t="s">
        <v>342</v>
      </c>
      <c r="F5" s="60">
        <f>25/20*11</f>
        <v>13.75</v>
      </c>
      <c r="G5" s="53">
        <f>25/20*11</f>
        <v>13.75</v>
      </c>
      <c r="H5" s="69"/>
      <c r="I5" s="48">
        <f>+F5+G5+H5</f>
        <v>27.5</v>
      </c>
    </row>
    <row r="6" spans="1:9" ht="12.75">
      <c r="A6" s="60">
        <v>3</v>
      </c>
      <c r="B6" s="53" t="s">
        <v>84</v>
      </c>
      <c r="C6" s="53" t="s">
        <v>191</v>
      </c>
      <c r="D6" s="53" t="s">
        <v>192</v>
      </c>
      <c r="E6" s="56" t="s">
        <v>346</v>
      </c>
      <c r="F6" s="60">
        <f>25/20*11</f>
        <v>13.75</v>
      </c>
      <c r="G6" s="60">
        <f>25/20*11</f>
        <v>13.75</v>
      </c>
      <c r="H6" s="69"/>
      <c r="I6" s="48">
        <f>+F6+G6+H6</f>
        <v>27.5</v>
      </c>
    </row>
    <row r="7" spans="1:9" ht="12.75">
      <c r="A7" s="60">
        <v>5</v>
      </c>
      <c r="B7" s="60" t="s">
        <v>57</v>
      </c>
      <c r="C7" s="60" t="s">
        <v>53</v>
      </c>
      <c r="D7" s="60" t="s">
        <v>349</v>
      </c>
      <c r="E7" s="56" t="s">
        <v>342</v>
      </c>
      <c r="F7" s="60">
        <f>18/20*11</f>
        <v>9.9</v>
      </c>
      <c r="G7" s="82">
        <f>30/20*11</f>
        <v>16.5</v>
      </c>
      <c r="H7" s="83"/>
      <c r="I7" s="48">
        <f>+F7+G7+H7</f>
        <v>26.4</v>
      </c>
    </row>
    <row r="8" spans="1:9" ht="12.75">
      <c r="A8" s="60">
        <v>6</v>
      </c>
      <c r="B8" s="53" t="s">
        <v>141</v>
      </c>
      <c r="C8" s="53" t="s">
        <v>140</v>
      </c>
      <c r="D8" s="53" t="s">
        <v>362</v>
      </c>
      <c r="E8" s="60" t="s">
        <v>341</v>
      </c>
      <c r="F8" s="60">
        <f>14/20*12</f>
        <v>8.399999999999999</v>
      </c>
      <c r="G8" s="53">
        <f>21/20*17</f>
        <v>17.85</v>
      </c>
      <c r="H8" s="69"/>
      <c r="I8" s="48">
        <f>+F8+G8+H8</f>
        <v>26.25</v>
      </c>
    </row>
    <row r="9" spans="1:9" ht="12.75">
      <c r="A9" s="60">
        <v>7</v>
      </c>
      <c r="B9" s="53" t="s">
        <v>350</v>
      </c>
      <c r="C9" s="53" t="s">
        <v>163</v>
      </c>
      <c r="D9" s="53" t="s">
        <v>164</v>
      </c>
      <c r="E9" s="60" t="s">
        <v>341</v>
      </c>
      <c r="F9" s="60">
        <f>21/20*12</f>
        <v>12.600000000000001</v>
      </c>
      <c r="G9" s="53">
        <f>11/20*17</f>
        <v>9.350000000000001</v>
      </c>
      <c r="H9" s="69"/>
      <c r="I9" s="48">
        <f>+F9+G9+H9</f>
        <v>21.950000000000003</v>
      </c>
    </row>
    <row r="10" spans="1:9" ht="12.75">
      <c r="A10" s="60">
        <v>8</v>
      </c>
      <c r="B10" s="60" t="s">
        <v>55</v>
      </c>
      <c r="C10" s="60" t="s">
        <v>166</v>
      </c>
      <c r="D10" s="60" t="s">
        <v>167</v>
      </c>
      <c r="E10" s="60" t="s">
        <v>341</v>
      </c>
      <c r="F10" s="60"/>
      <c r="G10" s="53">
        <f>25/20*17</f>
        <v>21.25</v>
      </c>
      <c r="H10" s="60"/>
      <c r="I10" s="48">
        <f>+F10+G10+H10</f>
        <v>21.25</v>
      </c>
    </row>
    <row r="11" spans="1:9" ht="12.75">
      <c r="A11" s="60">
        <v>9</v>
      </c>
      <c r="B11" s="53" t="s">
        <v>33</v>
      </c>
      <c r="C11" s="53" t="s">
        <v>359</v>
      </c>
      <c r="D11" s="53" t="s">
        <v>302</v>
      </c>
      <c r="E11" s="56" t="s">
        <v>342</v>
      </c>
      <c r="F11" s="60">
        <f>16/20*11</f>
        <v>8.8</v>
      </c>
      <c r="G11" s="60">
        <f>18/20*11</f>
        <v>9.9</v>
      </c>
      <c r="H11" s="69"/>
      <c r="I11" s="48">
        <f>+F11+G11+H11</f>
        <v>18.700000000000003</v>
      </c>
    </row>
    <row r="12" spans="1:9" ht="12.75">
      <c r="A12" s="60">
        <v>10</v>
      </c>
      <c r="B12" s="53" t="s">
        <v>343</v>
      </c>
      <c r="C12" s="53" t="s">
        <v>344</v>
      </c>
      <c r="D12" s="53" t="s">
        <v>345</v>
      </c>
      <c r="E12" s="56" t="s">
        <v>346</v>
      </c>
      <c r="F12" s="60">
        <f>30/20*11</f>
        <v>16.5</v>
      </c>
      <c r="G12" s="81"/>
      <c r="H12" s="69"/>
      <c r="I12" s="48">
        <f>+F12+G12+H12</f>
        <v>16.5</v>
      </c>
    </row>
    <row r="13" spans="1:9" ht="12.75">
      <c r="A13" s="60">
        <v>10</v>
      </c>
      <c r="B13" s="60" t="s">
        <v>225</v>
      </c>
      <c r="C13" s="60" t="s">
        <v>376</v>
      </c>
      <c r="D13" s="60" t="s">
        <v>300</v>
      </c>
      <c r="E13" s="56" t="s">
        <v>342</v>
      </c>
      <c r="F13" s="60">
        <f>30/20*11</f>
        <v>16.5</v>
      </c>
      <c r="G13" s="81"/>
      <c r="H13" s="69"/>
      <c r="I13" s="48">
        <f>+F13+G13+H13</f>
        <v>16.5</v>
      </c>
    </row>
    <row r="14" spans="1:9" ht="12.75">
      <c r="A14" s="60">
        <v>12</v>
      </c>
      <c r="B14" s="53" t="s">
        <v>209</v>
      </c>
      <c r="C14" s="53" t="s">
        <v>208</v>
      </c>
      <c r="D14" s="60"/>
      <c r="E14" s="56" t="s">
        <v>346</v>
      </c>
      <c r="F14" s="60">
        <f>15/20*11</f>
        <v>8.25</v>
      </c>
      <c r="G14" s="60">
        <f>13/20*11</f>
        <v>7.15</v>
      </c>
      <c r="H14" s="69"/>
      <c r="I14" s="48">
        <f>+F14+G14+H14</f>
        <v>15.4</v>
      </c>
    </row>
    <row r="15" spans="1:9" ht="12.75">
      <c r="A15" s="60">
        <v>13</v>
      </c>
      <c r="B15" s="60" t="s">
        <v>57</v>
      </c>
      <c r="C15" s="60" t="s">
        <v>139</v>
      </c>
      <c r="D15" s="60"/>
      <c r="E15" s="60" t="s">
        <v>341</v>
      </c>
      <c r="F15" s="60"/>
      <c r="G15" s="53">
        <f>18/20*17</f>
        <v>15.3</v>
      </c>
      <c r="H15" s="60"/>
      <c r="I15" s="48">
        <f>+F15+G15+H15</f>
        <v>15.3</v>
      </c>
    </row>
    <row r="16" spans="1:9" ht="12.75">
      <c r="A16" s="60">
        <v>14</v>
      </c>
      <c r="B16" s="53" t="s">
        <v>347</v>
      </c>
      <c r="C16" s="53" t="s">
        <v>348</v>
      </c>
      <c r="D16" s="60"/>
      <c r="E16" s="60" t="s">
        <v>341</v>
      </c>
      <c r="F16" s="60">
        <f>25/20*12</f>
        <v>15</v>
      </c>
      <c r="G16" s="81"/>
      <c r="H16" s="69"/>
      <c r="I16" s="48">
        <f>+F16+G16+H16</f>
        <v>15</v>
      </c>
    </row>
    <row r="17" spans="1:9" ht="12.75">
      <c r="A17" s="60">
        <v>15</v>
      </c>
      <c r="B17" s="60" t="s">
        <v>33</v>
      </c>
      <c r="C17" s="60" t="s">
        <v>101</v>
      </c>
      <c r="D17" s="60" t="s">
        <v>100</v>
      </c>
      <c r="E17" s="60" t="s">
        <v>341</v>
      </c>
      <c r="F17" s="60"/>
      <c r="G17" s="53">
        <f>16/20*17</f>
        <v>13.600000000000001</v>
      </c>
      <c r="H17" s="60"/>
      <c r="I17" s="48">
        <f>+F17+G17+H17</f>
        <v>13.600000000000001</v>
      </c>
    </row>
    <row r="18" spans="1:9" ht="12.75">
      <c r="A18" s="60">
        <v>16</v>
      </c>
      <c r="B18" s="60" t="s">
        <v>37</v>
      </c>
      <c r="C18" s="60" t="s">
        <v>381</v>
      </c>
      <c r="D18" s="60" t="s">
        <v>214</v>
      </c>
      <c r="E18" s="60" t="s">
        <v>341</v>
      </c>
      <c r="F18" s="60"/>
      <c r="G18" s="53">
        <f>15/20*17</f>
        <v>12.75</v>
      </c>
      <c r="H18" s="60"/>
      <c r="I18" s="48">
        <f>+F18+G18+H18</f>
        <v>12.75</v>
      </c>
    </row>
    <row r="19" spans="1:9" ht="12.75">
      <c r="A19" s="60">
        <v>17</v>
      </c>
      <c r="B19" s="60" t="s">
        <v>212</v>
      </c>
      <c r="C19" s="60" t="s">
        <v>211</v>
      </c>
      <c r="D19" s="60" t="s">
        <v>100</v>
      </c>
      <c r="E19" s="60" t="s">
        <v>341</v>
      </c>
      <c r="F19" s="60"/>
      <c r="G19" s="53">
        <f>14/20*17</f>
        <v>11.899999999999999</v>
      </c>
      <c r="H19" s="60"/>
      <c r="I19" s="48">
        <f>+F19+G19+H19</f>
        <v>11.899999999999999</v>
      </c>
    </row>
    <row r="20" spans="1:9" ht="12.75">
      <c r="A20" s="60">
        <v>18</v>
      </c>
      <c r="B20" s="60" t="s">
        <v>33</v>
      </c>
      <c r="C20" s="60" t="s">
        <v>377</v>
      </c>
      <c r="D20" s="60" t="s">
        <v>351</v>
      </c>
      <c r="E20" s="56" t="s">
        <v>342</v>
      </c>
      <c r="F20" s="60">
        <f>21/20*11</f>
        <v>11.55</v>
      </c>
      <c r="G20" s="81"/>
      <c r="H20" s="69"/>
      <c r="I20" s="48">
        <f>+F20+G20+H20</f>
        <v>11.55</v>
      </c>
    </row>
    <row r="21" spans="1:9" ht="12.75">
      <c r="A21" s="60">
        <v>18</v>
      </c>
      <c r="B21" s="60" t="s">
        <v>84</v>
      </c>
      <c r="C21" s="60" t="s">
        <v>186</v>
      </c>
      <c r="D21" s="60" t="s">
        <v>187</v>
      </c>
      <c r="E21" s="56" t="s">
        <v>346</v>
      </c>
      <c r="F21" s="60"/>
      <c r="G21" s="60">
        <f>21/20*11</f>
        <v>11.55</v>
      </c>
      <c r="H21" s="60"/>
      <c r="I21" s="48">
        <f>+F21+G21+H21</f>
        <v>11.55</v>
      </c>
    </row>
    <row r="22" spans="1:9" ht="12.75">
      <c r="A22" s="60">
        <v>18</v>
      </c>
      <c r="B22" s="60" t="s">
        <v>225</v>
      </c>
      <c r="C22" s="60" t="s">
        <v>223</v>
      </c>
      <c r="D22" s="60" t="s">
        <v>114</v>
      </c>
      <c r="E22" s="56" t="s">
        <v>342</v>
      </c>
      <c r="F22" s="60"/>
      <c r="G22" s="53">
        <f>21/20*11</f>
        <v>11.55</v>
      </c>
      <c r="H22" s="60"/>
      <c r="I22" s="48">
        <f>+F22+G22+H22</f>
        <v>11.55</v>
      </c>
    </row>
    <row r="23" spans="1:9" ht="12.75">
      <c r="A23" s="60">
        <v>21</v>
      </c>
      <c r="B23" s="53" t="s">
        <v>37</v>
      </c>
      <c r="C23" s="53" t="s">
        <v>36</v>
      </c>
      <c r="D23" s="53" t="s">
        <v>38</v>
      </c>
      <c r="E23" s="56" t="s">
        <v>341</v>
      </c>
      <c r="F23" s="60">
        <f>14/20*11</f>
        <v>7.699999999999999</v>
      </c>
      <c r="G23" s="53">
        <f>4/20*17</f>
        <v>3.4000000000000004</v>
      </c>
      <c r="H23" s="69"/>
      <c r="I23" s="48">
        <f>+F23+G23+H23</f>
        <v>11.1</v>
      </c>
    </row>
    <row r="24" spans="1:9" ht="12.75">
      <c r="A24" s="60">
        <v>22</v>
      </c>
      <c r="B24" s="53" t="s">
        <v>352</v>
      </c>
      <c r="C24" s="53" t="s">
        <v>353</v>
      </c>
      <c r="D24" s="53" t="s">
        <v>127</v>
      </c>
      <c r="E24" s="60" t="s">
        <v>341</v>
      </c>
      <c r="F24" s="60">
        <f>18/20*12</f>
        <v>10.8</v>
      </c>
      <c r="G24" s="81"/>
      <c r="H24" s="69"/>
      <c r="I24" s="48">
        <f>+F24+G24+H24</f>
        <v>10.8</v>
      </c>
    </row>
    <row r="25" spans="1:9" ht="12.75">
      <c r="A25" s="60">
        <v>23</v>
      </c>
      <c r="B25" s="60" t="s">
        <v>157</v>
      </c>
      <c r="C25" s="60" t="s">
        <v>156</v>
      </c>
      <c r="D25" s="60" t="s">
        <v>155</v>
      </c>
      <c r="E25" s="60" t="s">
        <v>341</v>
      </c>
      <c r="F25" s="60"/>
      <c r="G25" s="53">
        <f>12/20*17</f>
        <v>10.2</v>
      </c>
      <c r="H25" s="60"/>
      <c r="I25" s="48">
        <f>+F25+G25+H25</f>
        <v>10.2</v>
      </c>
    </row>
    <row r="26" spans="1:9" ht="12.75">
      <c r="A26" s="60">
        <v>24</v>
      </c>
      <c r="B26" s="53" t="s">
        <v>354</v>
      </c>
      <c r="C26" s="53" t="s">
        <v>355</v>
      </c>
      <c r="D26" s="53" t="s">
        <v>356</v>
      </c>
      <c r="E26" s="56" t="s">
        <v>346</v>
      </c>
      <c r="F26" s="60">
        <f>18/20*11</f>
        <v>9.9</v>
      </c>
      <c r="G26" s="81"/>
      <c r="H26" s="69"/>
      <c r="I26" s="48">
        <f>+F26+G26+H26</f>
        <v>9.9</v>
      </c>
    </row>
    <row r="27" spans="1:9" ht="12.75">
      <c r="A27" s="60">
        <v>24</v>
      </c>
      <c r="B27" s="60" t="s">
        <v>194</v>
      </c>
      <c r="C27" s="60" t="s">
        <v>193</v>
      </c>
      <c r="D27" s="60" t="s">
        <v>195</v>
      </c>
      <c r="E27" s="56" t="s">
        <v>346</v>
      </c>
      <c r="F27" s="60"/>
      <c r="G27" s="60">
        <f>18/20*11</f>
        <v>9.9</v>
      </c>
      <c r="H27" s="60"/>
      <c r="I27" s="48">
        <f>+F27+G27+H27</f>
        <v>9.9</v>
      </c>
    </row>
    <row r="28" spans="1:9" ht="12.75">
      <c r="A28" s="60">
        <v>26</v>
      </c>
      <c r="B28" s="53" t="s">
        <v>354</v>
      </c>
      <c r="C28" s="53" t="s">
        <v>357</v>
      </c>
      <c r="D28" s="60"/>
      <c r="E28" s="60" t="s">
        <v>341</v>
      </c>
      <c r="F28" s="60">
        <f>16/20*12</f>
        <v>9.600000000000001</v>
      </c>
      <c r="G28" s="81"/>
      <c r="H28" s="69"/>
      <c r="I28" s="48">
        <f>+F28+G28+H28</f>
        <v>9.600000000000001</v>
      </c>
    </row>
    <row r="29" spans="1:9" ht="12.75">
      <c r="A29" s="60">
        <v>27</v>
      </c>
      <c r="B29" s="53" t="s">
        <v>84</v>
      </c>
      <c r="C29" s="53" t="s">
        <v>358</v>
      </c>
      <c r="D29" s="53" t="s">
        <v>253</v>
      </c>
      <c r="E29" s="60" t="s">
        <v>341</v>
      </c>
      <c r="F29" s="60">
        <f>15/20*12</f>
        <v>9</v>
      </c>
      <c r="G29" s="81"/>
      <c r="H29" s="69"/>
      <c r="I29" s="48">
        <f>+F29+G29+H29</f>
        <v>9</v>
      </c>
    </row>
    <row r="30" spans="1:9" ht="12.75">
      <c r="A30" s="60">
        <v>28</v>
      </c>
      <c r="B30" s="53" t="s">
        <v>360</v>
      </c>
      <c r="C30" s="53" t="s">
        <v>361</v>
      </c>
      <c r="D30" s="53" t="s">
        <v>153</v>
      </c>
      <c r="E30" s="56" t="s">
        <v>346</v>
      </c>
      <c r="F30" s="60">
        <f>16/20*11</f>
        <v>8.8</v>
      </c>
      <c r="G30" s="81"/>
      <c r="H30" s="69"/>
      <c r="I30" s="48">
        <f>+F30+G30+H30</f>
        <v>8.8</v>
      </c>
    </row>
    <row r="31" spans="1:9" ht="12.75">
      <c r="A31" s="60">
        <v>28</v>
      </c>
      <c r="B31" s="60" t="s">
        <v>42</v>
      </c>
      <c r="C31" s="60" t="s">
        <v>68</v>
      </c>
      <c r="D31" s="60" t="s">
        <v>69</v>
      </c>
      <c r="E31" s="56" t="s">
        <v>346</v>
      </c>
      <c r="F31" s="60"/>
      <c r="G31" s="60">
        <f>16/20*11</f>
        <v>8.8</v>
      </c>
      <c r="H31" s="60"/>
      <c r="I31" s="48">
        <f>+F31+G31+H31</f>
        <v>8.8</v>
      </c>
    </row>
    <row r="32" spans="1:9" ht="12.75">
      <c r="A32" s="60">
        <v>28</v>
      </c>
      <c r="B32" s="60" t="s">
        <v>224</v>
      </c>
      <c r="C32" s="60" t="s">
        <v>223</v>
      </c>
      <c r="D32" s="60" t="s">
        <v>114</v>
      </c>
      <c r="E32" s="56" t="s">
        <v>342</v>
      </c>
      <c r="F32" s="60"/>
      <c r="G32" s="60">
        <f>16/20*11</f>
        <v>8.8</v>
      </c>
      <c r="H32" s="60"/>
      <c r="I32" s="48">
        <f>+F32+G32+H32</f>
        <v>8.8</v>
      </c>
    </row>
    <row r="33" spans="1:9" ht="12.75">
      <c r="A33" s="60">
        <v>31</v>
      </c>
      <c r="B33" s="60" t="s">
        <v>74</v>
      </c>
      <c r="C33" s="60" t="s">
        <v>73</v>
      </c>
      <c r="D33" s="60" t="s">
        <v>72</v>
      </c>
      <c r="E33" s="60" t="s">
        <v>341</v>
      </c>
      <c r="F33" s="60"/>
      <c r="G33" s="53">
        <f>10/20*17</f>
        <v>8.5</v>
      </c>
      <c r="H33" s="60"/>
      <c r="I33" s="48">
        <f>+F33+G33+H33</f>
        <v>8.5</v>
      </c>
    </row>
    <row r="34" spans="1:9" ht="12.75">
      <c r="A34" s="60">
        <v>32</v>
      </c>
      <c r="B34" s="60" t="s">
        <v>95</v>
      </c>
      <c r="C34" s="60" t="s">
        <v>94</v>
      </c>
      <c r="D34" s="60"/>
      <c r="E34" s="56" t="s">
        <v>346</v>
      </c>
      <c r="F34" s="60"/>
      <c r="G34" s="60">
        <f>15/20*11</f>
        <v>8.25</v>
      </c>
      <c r="H34" s="60"/>
      <c r="I34" s="48">
        <f>+F34+G34+H34</f>
        <v>8.25</v>
      </c>
    </row>
    <row r="35" spans="1:9" ht="12.75">
      <c r="A35" s="60">
        <v>33</v>
      </c>
      <c r="B35" s="53" t="s">
        <v>42</v>
      </c>
      <c r="C35" s="53" t="s">
        <v>41</v>
      </c>
      <c r="D35" s="53" t="s">
        <v>370</v>
      </c>
      <c r="E35" s="60" t="s">
        <v>341</v>
      </c>
      <c r="F35" s="60">
        <f>9/20*12</f>
        <v>5.4</v>
      </c>
      <c r="G35" s="81">
        <f>3/20*17</f>
        <v>2.55</v>
      </c>
      <c r="H35" s="69"/>
      <c r="I35" s="48">
        <f>+F35+G35+H35</f>
        <v>7.95</v>
      </c>
    </row>
    <row r="36" spans="1:9" ht="12.75">
      <c r="A36" s="60">
        <v>34</v>
      </c>
      <c r="B36" s="53" t="s">
        <v>42</v>
      </c>
      <c r="C36" s="53" t="s">
        <v>363</v>
      </c>
      <c r="D36" s="53" t="s">
        <v>364</v>
      </c>
      <c r="E36" s="60" t="s">
        <v>341</v>
      </c>
      <c r="F36" s="60">
        <f>13/20*12</f>
        <v>7.800000000000001</v>
      </c>
      <c r="G36" s="81"/>
      <c r="H36" s="69"/>
      <c r="I36" s="48">
        <f>+F36+G36+H36</f>
        <v>7.800000000000001</v>
      </c>
    </row>
    <row r="37" spans="1:9" ht="12.75">
      <c r="A37" s="60">
        <v>35</v>
      </c>
      <c r="B37" s="60" t="s">
        <v>88</v>
      </c>
      <c r="C37" s="60" t="s">
        <v>87</v>
      </c>
      <c r="D37" s="60" t="s">
        <v>89</v>
      </c>
      <c r="E37" s="56" t="s">
        <v>346</v>
      </c>
      <c r="F37" s="60"/>
      <c r="G37" s="60">
        <f>14/20*11</f>
        <v>7.699999999999999</v>
      </c>
      <c r="H37" s="60"/>
      <c r="I37" s="48">
        <f>+F37+G37+H37</f>
        <v>7.699999999999999</v>
      </c>
    </row>
    <row r="38" spans="1:9" ht="12.75">
      <c r="A38" s="60">
        <v>36</v>
      </c>
      <c r="B38" s="60" t="s">
        <v>33</v>
      </c>
      <c r="C38" s="60" t="s">
        <v>204</v>
      </c>
      <c r="D38" s="60" t="s">
        <v>43</v>
      </c>
      <c r="E38" s="60" t="s">
        <v>341</v>
      </c>
      <c r="F38" s="60"/>
      <c r="G38" s="53">
        <f>9/20*17</f>
        <v>7.65</v>
      </c>
      <c r="H38" s="60"/>
      <c r="I38" s="48">
        <f>+F38+G38+H38</f>
        <v>7.65</v>
      </c>
    </row>
    <row r="39" spans="1:9" ht="12.75">
      <c r="A39" s="60">
        <v>37</v>
      </c>
      <c r="B39" s="53" t="s">
        <v>48</v>
      </c>
      <c r="C39" s="53" t="s">
        <v>365</v>
      </c>
      <c r="D39" s="60"/>
      <c r="E39" s="60" t="s">
        <v>341</v>
      </c>
      <c r="F39" s="60">
        <f>12/20*12</f>
        <v>7.199999999999999</v>
      </c>
      <c r="G39" s="81"/>
      <c r="H39" s="69"/>
      <c r="I39" s="48">
        <f>+F39+G39+H39</f>
        <v>7.199999999999999</v>
      </c>
    </row>
    <row r="40" spans="1:9" ht="12.75">
      <c r="A40" s="60">
        <v>38</v>
      </c>
      <c r="B40" s="53" t="s">
        <v>366</v>
      </c>
      <c r="C40" s="53" t="s">
        <v>367</v>
      </c>
      <c r="D40" s="53" t="s">
        <v>368</v>
      </c>
      <c r="E40" s="56" t="s">
        <v>346</v>
      </c>
      <c r="F40" s="60">
        <f>13/20*11</f>
        <v>7.15</v>
      </c>
      <c r="G40" s="81"/>
      <c r="H40" s="69"/>
      <c r="I40" s="48">
        <f>+F40+G40+H40</f>
        <v>7.15</v>
      </c>
    </row>
    <row r="41" spans="1:9" ht="12.75">
      <c r="A41" s="60">
        <v>39</v>
      </c>
      <c r="B41" s="60" t="s">
        <v>84</v>
      </c>
      <c r="C41" s="60" t="s">
        <v>83</v>
      </c>
      <c r="D41" s="60" t="s">
        <v>85</v>
      </c>
      <c r="E41" s="60" t="s">
        <v>341</v>
      </c>
      <c r="F41" s="60"/>
      <c r="G41" s="53">
        <f>8/20*17</f>
        <v>6.800000000000001</v>
      </c>
      <c r="H41" s="60"/>
      <c r="I41" s="48">
        <f>+F41+G41+H41</f>
        <v>6.800000000000001</v>
      </c>
    </row>
    <row r="42" spans="1:9" ht="12.75">
      <c r="A42" s="60">
        <v>40</v>
      </c>
      <c r="B42" s="53" t="s">
        <v>84</v>
      </c>
      <c r="C42" s="53" t="s">
        <v>369</v>
      </c>
      <c r="D42" s="60"/>
      <c r="E42" s="56" t="s">
        <v>346</v>
      </c>
      <c r="F42" s="60">
        <f>12/20*11</f>
        <v>6.6</v>
      </c>
      <c r="G42" s="81"/>
      <c r="H42" s="69"/>
      <c r="I42" s="48">
        <f>+F42+G42+H42</f>
        <v>6.6</v>
      </c>
    </row>
    <row r="43" spans="1:9" ht="12.75">
      <c r="A43" s="60">
        <v>41</v>
      </c>
      <c r="B43" s="60" t="s">
        <v>57</v>
      </c>
      <c r="C43" s="60" t="s">
        <v>86</v>
      </c>
      <c r="D43" s="60" t="s">
        <v>85</v>
      </c>
      <c r="E43" s="60" t="s">
        <v>341</v>
      </c>
      <c r="F43" s="60"/>
      <c r="G43" s="53">
        <f>7/20*17</f>
        <v>5.949999999999999</v>
      </c>
      <c r="H43" s="60"/>
      <c r="I43" s="48">
        <f>+F43+G43+H43</f>
        <v>5.949999999999999</v>
      </c>
    </row>
    <row r="44" spans="1:9" ht="12.75">
      <c r="A44" s="60">
        <v>42</v>
      </c>
      <c r="B44" s="60" t="s">
        <v>147</v>
      </c>
      <c r="C44" s="60" t="s">
        <v>146</v>
      </c>
      <c r="D44" s="60" t="s">
        <v>148</v>
      </c>
      <c r="E44" s="60" t="s">
        <v>341</v>
      </c>
      <c r="F44" s="60"/>
      <c r="G44" s="53">
        <f>6/20*17</f>
        <v>5.1</v>
      </c>
      <c r="H44" s="60"/>
      <c r="I44" s="48">
        <f>+F44+G44+H44</f>
        <v>5.1</v>
      </c>
    </row>
    <row r="45" spans="1:9" ht="12.75">
      <c r="A45" s="60">
        <v>43</v>
      </c>
      <c r="B45" s="53" t="s">
        <v>371</v>
      </c>
      <c r="C45" s="53" t="s">
        <v>372</v>
      </c>
      <c r="D45" s="53" t="s">
        <v>373</v>
      </c>
      <c r="E45" s="60" t="s">
        <v>341</v>
      </c>
      <c r="F45" s="60">
        <f>8/20*12</f>
        <v>4.800000000000001</v>
      </c>
      <c r="G45" s="81"/>
      <c r="H45" s="69"/>
      <c r="I45" s="48">
        <f>+F45+G45+H45</f>
        <v>4.800000000000001</v>
      </c>
    </row>
    <row r="46" spans="1:9" ht="12.75">
      <c r="A46" s="60">
        <v>44</v>
      </c>
      <c r="B46" s="60" t="s">
        <v>121</v>
      </c>
      <c r="C46" s="60" t="s">
        <v>120</v>
      </c>
      <c r="D46" s="60" t="s">
        <v>122</v>
      </c>
      <c r="E46" s="60" t="s">
        <v>341</v>
      </c>
      <c r="F46" s="60"/>
      <c r="G46" s="53">
        <f>5/20*17</f>
        <v>4.25</v>
      </c>
      <c r="H46" s="60"/>
      <c r="I46" s="48">
        <f>+F46+G46+H46</f>
        <v>4.25</v>
      </c>
    </row>
    <row r="47" spans="1:9" ht="12.75">
      <c r="A47" s="60">
        <v>45</v>
      </c>
      <c r="B47" s="53" t="s">
        <v>48</v>
      </c>
      <c r="C47" s="53" t="s">
        <v>374</v>
      </c>
      <c r="D47" s="53" t="s">
        <v>375</v>
      </c>
      <c r="E47" s="60" t="s">
        <v>341</v>
      </c>
      <c r="F47" s="60">
        <f>7/20*12</f>
        <v>4.199999999999999</v>
      </c>
      <c r="G47" s="81"/>
      <c r="H47" s="69"/>
      <c r="I47" s="48">
        <f>+F47+G47+H47</f>
        <v>4.199999999999999</v>
      </c>
    </row>
    <row r="48" spans="1:9" ht="12.75">
      <c r="A48" s="60"/>
      <c r="B48" s="56"/>
      <c r="C48" s="56"/>
      <c r="D48" s="56"/>
      <c r="E48" s="56"/>
      <c r="F48" s="69"/>
      <c r="G48" s="81"/>
      <c r="H48" s="69"/>
      <c r="I48" s="48">
        <f>+F48+G48+H48</f>
        <v>0</v>
      </c>
    </row>
    <row r="49" spans="1:9" ht="12.75">
      <c r="A49" s="60"/>
      <c r="B49" s="56"/>
      <c r="C49" s="56"/>
      <c r="D49" s="56"/>
      <c r="E49" s="56"/>
      <c r="F49" s="69"/>
      <c r="G49" s="81"/>
      <c r="H49" s="69"/>
      <c r="I49" s="48">
        <f>+F49+G49+H49</f>
        <v>0</v>
      </c>
    </row>
    <row r="50" spans="1:9" ht="12.75">
      <c r="A50" s="60"/>
      <c r="B50" s="79"/>
      <c r="C50" s="79"/>
      <c r="D50" s="79"/>
      <c r="E50" s="56"/>
      <c r="F50" s="69"/>
      <c r="G50" s="81"/>
      <c r="H50" s="69"/>
      <c r="I50" s="48">
        <f>+F50+G50+H50</f>
        <v>0</v>
      </c>
    </row>
    <row r="51" spans="1:9" ht="12.75">
      <c r="A51" s="60"/>
      <c r="B51" s="56"/>
      <c r="C51" s="56"/>
      <c r="D51" s="56"/>
      <c r="E51" s="56"/>
      <c r="F51" s="69"/>
      <c r="G51" s="81"/>
      <c r="H51" s="69"/>
      <c r="I51" s="48">
        <f>+F51+G51+H51</f>
        <v>0</v>
      </c>
    </row>
    <row r="52" spans="1:9" ht="12.75">
      <c r="A52" s="60"/>
      <c r="B52" s="56"/>
      <c r="C52" s="56"/>
      <c r="D52" s="56"/>
      <c r="E52" s="56"/>
      <c r="F52" s="69"/>
      <c r="G52" s="81"/>
      <c r="H52" s="69"/>
      <c r="I52" s="48">
        <f>+F52+G52+H52</f>
        <v>0</v>
      </c>
    </row>
    <row r="53" spans="1:9" ht="12.75">
      <c r="A53" s="60"/>
      <c r="B53" s="56"/>
      <c r="C53" s="56"/>
      <c r="D53" s="56"/>
      <c r="E53" s="56"/>
      <c r="F53" s="69"/>
      <c r="G53" s="81"/>
      <c r="H53" s="69"/>
      <c r="I53" s="48">
        <f>+F53+G53+H53</f>
        <v>0</v>
      </c>
    </row>
    <row r="54" spans="1:9" ht="12.75">
      <c r="A54" s="60"/>
      <c r="B54" s="56"/>
      <c r="C54" s="56"/>
      <c r="D54" s="56"/>
      <c r="E54" s="56"/>
      <c r="F54" s="69"/>
      <c r="G54" s="81"/>
      <c r="H54" s="69"/>
      <c r="I54" s="48">
        <f>+F54+G54+H54</f>
        <v>0</v>
      </c>
    </row>
    <row r="55" spans="1:9" ht="12.75">
      <c r="A55" s="60"/>
      <c r="B55" s="56"/>
      <c r="C55" s="56"/>
      <c r="D55" s="56"/>
      <c r="E55" s="56"/>
      <c r="F55" s="69"/>
      <c r="G55" s="81"/>
      <c r="H55" s="69"/>
      <c r="I55" s="48">
        <f>+F55+G55+H55</f>
        <v>0</v>
      </c>
    </row>
    <row r="56" spans="1:9" ht="12.75">
      <c r="A56" s="60"/>
      <c r="B56" s="60"/>
      <c r="C56" s="60"/>
      <c r="D56" s="60"/>
      <c r="E56" s="60"/>
      <c r="F56" s="69"/>
      <c r="G56" s="81"/>
      <c r="H56" s="69"/>
      <c r="I56" s="48">
        <f>+F56+G56+H56</f>
        <v>0</v>
      </c>
    </row>
    <row r="57" spans="1:9" ht="12.75">
      <c r="A57" s="60"/>
      <c r="B57" s="60"/>
      <c r="C57" s="60"/>
      <c r="D57" s="60"/>
      <c r="E57" s="60"/>
      <c r="F57" s="69"/>
      <c r="G57" s="81"/>
      <c r="H57" s="69"/>
      <c r="I57" s="48">
        <f>+F57+G57+H57</f>
        <v>0</v>
      </c>
    </row>
    <row r="58" spans="1:9" ht="12.75">
      <c r="A58" s="60"/>
      <c r="B58" s="60"/>
      <c r="C58" s="60"/>
      <c r="D58" s="60"/>
      <c r="E58" s="60"/>
      <c r="F58" s="69"/>
      <c r="G58" s="81"/>
      <c r="H58" s="69"/>
      <c r="I58" s="48">
        <f>+F58+G58+H58</f>
        <v>0</v>
      </c>
    </row>
    <row r="59" spans="1:9" ht="12.75">
      <c r="A59" s="60"/>
      <c r="B59" s="60"/>
      <c r="C59" s="60"/>
      <c r="D59" s="60"/>
      <c r="E59" s="60"/>
      <c r="F59" s="69"/>
      <c r="G59" s="81"/>
      <c r="H59" s="69"/>
      <c r="I59" s="48">
        <f>+F59+G59+H59</f>
        <v>0</v>
      </c>
    </row>
    <row r="60" spans="1:9" ht="12.75">
      <c r="A60" s="60"/>
      <c r="B60" s="60"/>
      <c r="C60" s="60"/>
      <c r="D60" s="60"/>
      <c r="E60" s="60"/>
      <c r="F60" s="69"/>
      <c r="G60" s="81"/>
      <c r="H60" s="69"/>
      <c r="I60" s="48">
        <f>+F60+G60+H60</f>
        <v>0</v>
      </c>
    </row>
    <row r="61" spans="1:9" ht="12.75">
      <c r="A61" s="60"/>
      <c r="B61" s="60"/>
      <c r="C61" s="60"/>
      <c r="D61" s="60"/>
      <c r="E61" s="60"/>
      <c r="F61" s="69"/>
      <c r="G61" s="81"/>
      <c r="H61" s="69"/>
      <c r="I61" s="48">
        <f>+F61+G61+H61</f>
        <v>0</v>
      </c>
    </row>
    <row r="62" spans="1:9" ht="12.75">
      <c r="A62" s="60"/>
      <c r="B62" s="60"/>
      <c r="C62" s="60"/>
      <c r="D62" s="60"/>
      <c r="E62" s="60"/>
      <c r="F62" s="69"/>
      <c r="G62" s="81"/>
      <c r="H62" s="69"/>
      <c r="I62" s="48">
        <f>+F62+G62+H62</f>
        <v>0</v>
      </c>
    </row>
    <row r="63" spans="1:9" ht="12.75">
      <c r="A63" s="60"/>
      <c r="B63" s="60"/>
      <c r="C63" s="60"/>
      <c r="D63" s="60"/>
      <c r="E63" s="60"/>
      <c r="F63" s="69"/>
      <c r="G63" s="81"/>
      <c r="H63" s="69"/>
      <c r="I63" s="48">
        <f>+F63+G63+H63</f>
        <v>0</v>
      </c>
    </row>
    <row r="64" spans="1:9" ht="12.75">
      <c r="A64" s="60"/>
      <c r="B64" s="60"/>
      <c r="C64" s="60"/>
      <c r="D64" s="60"/>
      <c r="E64" s="60"/>
      <c r="F64" s="69"/>
      <c r="G64" s="81"/>
      <c r="H64" s="69"/>
      <c r="I64" s="48">
        <f>+F64+G64+H64</f>
        <v>0</v>
      </c>
    </row>
    <row r="65" spans="1:9" ht="12.75">
      <c r="A65" s="60"/>
      <c r="B65" s="60"/>
      <c r="C65" s="60"/>
      <c r="D65" s="60"/>
      <c r="E65" s="60"/>
      <c r="F65" s="69"/>
      <c r="G65" s="81"/>
      <c r="H65" s="69"/>
      <c r="I65" s="48">
        <f>+F65+G65+H65</f>
        <v>0</v>
      </c>
    </row>
    <row r="66" spans="1:9" ht="12.75">
      <c r="A66" s="60"/>
      <c r="B66" s="60"/>
      <c r="C66" s="60"/>
      <c r="D66" s="60"/>
      <c r="E66" s="60"/>
      <c r="F66" s="69"/>
      <c r="G66" s="81"/>
      <c r="H66" s="69"/>
      <c r="I66" s="48">
        <f>+F66+G66+H66</f>
        <v>0</v>
      </c>
    </row>
    <row r="67" spans="1:9" ht="12.75">
      <c r="A67" s="60"/>
      <c r="B67" s="60"/>
      <c r="C67" s="60"/>
      <c r="D67" s="60"/>
      <c r="E67" s="60"/>
      <c r="F67" s="69"/>
      <c r="G67" s="81"/>
      <c r="H67" s="69"/>
      <c r="I67" s="48">
        <f>+F67+G67+H67</f>
        <v>0</v>
      </c>
    </row>
    <row r="68" spans="1:9" ht="12.75">
      <c r="A68" s="60"/>
      <c r="B68" s="60"/>
      <c r="C68" s="60"/>
      <c r="D68" s="60"/>
      <c r="E68" s="60"/>
      <c r="F68" s="69"/>
      <c r="G68" s="81"/>
      <c r="H68" s="69"/>
      <c r="I68" s="48">
        <f>+F68+G68+H68</f>
        <v>0</v>
      </c>
    </row>
    <row r="69" spans="1:9" ht="12.75">
      <c r="A69" s="60"/>
      <c r="B69" s="60"/>
      <c r="C69" s="60"/>
      <c r="D69" s="60"/>
      <c r="E69" s="60"/>
      <c r="F69" s="69"/>
      <c r="G69" s="81"/>
      <c r="H69" s="69"/>
      <c r="I69" s="48">
        <f>+F69+G69+H69</f>
        <v>0</v>
      </c>
    </row>
    <row r="70" spans="1:9" ht="12.75">
      <c r="A70" s="60"/>
      <c r="B70" s="60"/>
      <c r="C70" s="60"/>
      <c r="D70" s="60"/>
      <c r="E70" s="60"/>
      <c r="F70" s="69"/>
      <c r="G70" s="81"/>
      <c r="H70" s="69"/>
      <c r="I70" s="48">
        <f>+F70+G70+H70</f>
        <v>0</v>
      </c>
    </row>
    <row r="71" spans="2:9" ht="12.75">
      <c r="B71" s="60"/>
      <c r="C71" s="60"/>
      <c r="D71" s="60"/>
      <c r="E71" s="60"/>
      <c r="F71" s="69"/>
      <c r="G71" s="81"/>
      <c r="H71" s="69"/>
      <c r="I71" s="48">
        <f>+F71+G71+H71</f>
        <v>0</v>
      </c>
    </row>
    <row r="72" spans="2:9" ht="12.75">
      <c r="B72" s="60"/>
      <c r="C72" s="60"/>
      <c r="D72" s="60"/>
      <c r="E72" s="60"/>
      <c r="F72" s="69"/>
      <c r="G72" s="81"/>
      <c r="H72" s="69"/>
      <c r="I72" s="48">
        <f>+F72+G72+H72</f>
        <v>0</v>
      </c>
    </row>
    <row r="73" spans="2:9" ht="12.75">
      <c r="B73" s="60"/>
      <c r="C73" s="60"/>
      <c r="D73" s="60"/>
      <c r="E73" s="60"/>
      <c r="F73" s="69"/>
      <c r="G73" s="81"/>
      <c r="H73" s="69"/>
      <c r="I73" s="48">
        <f>+F73+G73+H73</f>
        <v>0</v>
      </c>
    </row>
    <row r="74" spans="1:9" ht="12.75">
      <c r="A74" s="60"/>
      <c r="B74" s="60"/>
      <c r="C74" s="60"/>
      <c r="D74" s="60"/>
      <c r="E74" s="60"/>
      <c r="F74" s="69"/>
      <c r="G74" s="81"/>
      <c r="H74" s="69"/>
      <c r="I74" s="48">
        <f>+F74+G74+H74</f>
        <v>0</v>
      </c>
    </row>
    <row r="75" spans="1:9" ht="12.75">
      <c r="A75" s="60"/>
      <c r="B75" s="60"/>
      <c r="C75" s="60"/>
      <c r="D75" s="60"/>
      <c r="E75" s="60"/>
      <c r="F75" s="69"/>
      <c r="G75" s="81"/>
      <c r="H75" s="69"/>
      <c r="I75" s="48">
        <f>+F75+G75+H75</f>
        <v>0</v>
      </c>
    </row>
    <row r="76" spans="1:9" ht="12.75">
      <c r="A76" s="60"/>
      <c r="B76" s="60"/>
      <c r="C76" s="60"/>
      <c r="D76" s="60"/>
      <c r="E76" s="60"/>
      <c r="F76" s="69"/>
      <c r="G76" s="81"/>
      <c r="H76" s="69"/>
      <c r="I76" s="48">
        <f>+F76+G76+H76</f>
        <v>0</v>
      </c>
    </row>
    <row r="77" spans="1:9" ht="12.75">
      <c r="A77" s="60"/>
      <c r="B77" s="60"/>
      <c r="C77" s="60"/>
      <c r="D77" s="60"/>
      <c r="E77" s="60"/>
      <c r="F77" s="69"/>
      <c r="G77" s="81"/>
      <c r="H77" s="69"/>
      <c r="I77" s="48">
        <f>+F77+G77+H77</f>
        <v>0</v>
      </c>
    </row>
    <row r="78" spans="1:9" ht="12.75">
      <c r="A78" s="60"/>
      <c r="B78" s="60"/>
      <c r="C78" s="60"/>
      <c r="D78" s="60"/>
      <c r="E78" s="60"/>
      <c r="F78" s="69"/>
      <c r="G78" s="81"/>
      <c r="H78" s="69"/>
      <c r="I78" s="48">
        <f>+F78+G78+H78</f>
        <v>0</v>
      </c>
    </row>
    <row r="79" spans="1:9" ht="12.75">
      <c r="A79" s="60"/>
      <c r="B79" s="60"/>
      <c r="C79" s="60"/>
      <c r="D79" s="60"/>
      <c r="E79" s="60"/>
      <c r="F79" s="60"/>
      <c r="G79" s="53"/>
      <c r="H79" s="60"/>
      <c r="I79" s="48">
        <f>+F79+G79+H79</f>
        <v>0</v>
      </c>
    </row>
    <row r="80" spans="1:9" ht="12.75">
      <c r="A80" s="60"/>
      <c r="B80" s="60"/>
      <c r="C80" s="60"/>
      <c r="D80" s="60"/>
      <c r="E80" s="60"/>
      <c r="F80" s="60"/>
      <c r="G80" s="53"/>
      <c r="H80" s="60"/>
      <c r="I80" s="48">
        <f>+F80+G80+H80</f>
        <v>0</v>
      </c>
    </row>
    <row r="81" spans="1:9" ht="12.75">
      <c r="A81" s="60"/>
      <c r="B81" s="60"/>
      <c r="C81" s="60"/>
      <c r="D81" s="60"/>
      <c r="E81" s="60"/>
      <c r="F81" s="60"/>
      <c r="G81" s="53"/>
      <c r="H81" s="60"/>
      <c r="I81" s="48">
        <f>+F81+G81+H81</f>
        <v>0</v>
      </c>
    </row>
    <row r="82" spans="1:9" ht="12.75">
      <c r="A82" s="60"/>
      <c r="B82" s="60"/>
      <c r="C82" s="60"/>
      <c r="D82" s="60"/>
      <c r="E82" s="60"/>
      <c r="F82" s="60"/>
      <c r="G82" s="53"/>
      <c r="H82" s="60"/>
      <c r="I82" s="60"/>
    </row>
    <row r="83" spans="1:9" ht="12.75">
      <c r="A83" s="60"/>
      <c r="B83" s="60"/>
      <c r="C83" s="60"/>
      <c r="D83" s="60"/>
      <c r="E83" s="60"/>
      <c r="F83" s="60"/>
      <c r="G83" s="53"/>
      <c r="H83" s="60"/>
      <c r="I83" s="60"/>
    </row>
    <row r="84" spans="1:9" ht="12.75">
      <c r="A84" s="60"/>
      <c r="B84" s="60"/>
      <c r="C84" s="60"/>
      <c r="D84" s="60"/>
      <c r="E84" s="60"/>
      <c r="F84" s="60"/>
      <c r="G84" s="53"/>
      <c r="H84" s="60"/>
      <c r="I84" s="60"/>
    </row>
  </sheetData>
  <sheetProtection/>
  <autoFilter ref="A2:I81">
    <sortState ref="A3:I84">
      <sortCondition descending="1" sortBy="value" ref="I3:I84"/>
    </sortState>
  </autoFilter>
  <mergeCells count="1">
    <mergeCell ref="A1:I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Brouček</dc:creator>
  <cp:keywords/>
  <dc:description/>
  <cp:lastModifiedBy>honza</cp:lastModifiedBy>
  <cp:lastPrinted>2010-02-16T15:50:41Z</cp:lastPrinted>
  <dcterms:created xsi:type="dcterms:W3CDTF">2009-05-12T20:38:36Z</dcterms:created>
  <dcterms:modified xsi:type="dcterms:W3CDTF">2010-06-04T20:31:23Z</dcterms:modified>
  <cp:category/>
  <cp:version/>
  <cp:contentType/>
  <cp:contentStatus/>
</cp:coreProperties>
</file>